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jppanasonic-my.sharepoint.com/personal/toumoto_masataka_jp_panasonic_com/Documents/OneDrive_Desktop/デジタルマーケティング取組み企画/★企画書★/2026年度_デジマ計画/Data Platformer/問合せ先入力ツール/Output/"/>
    </mc:Choice>
  </mc:AlternateContent>
  <xr:revisionPtr revIDLastSave="11" documentId="13_ncr:1_{31C051AC-1293-47AD-87A4-1ABC8B241A6E}" xr6:coauthVersionLast="47" xr6:coauthVersionMax="47" xr10:uidLastSave="{B72EFD3D-6BE8-4A43-8231-FB480C8AF803}"/>
  <workbookProtection workbookAlgorithmName="SHA-512" workbookHashValue="3ODvpALY1x61Cvd0Oofqg97ZNd7+40fUrp7alBOJ/L1ruQ6E/ma5lVUydUoqfrQWad9IBPUQppnTUXDHO2Yr1A==" workbookSaltValue="WfJGw/J05jzXDaJ4irXs0g==" workbookSpinCount="100000" lockStructure="1"/>
  <bookViews>
    <workbookView xWindow="-108" yWindow="-108" windowWidth="23256" windowHeight="1389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6" i="5" l="1"/>
  <c r="V7" i="5"/>
  <c r="V8" i="5"/>
  <c r="S8" i="5"/>
  <c r="V9" i="5"/>
  <c r="T9" i="5"/>
  <c r="V10"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S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F69" i="6" s="1"/>
  <c r="C69" i="6" s="1"/>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X9" i="5"/>
  <c r="X10" i="5"/>
  <c r="V11" i="5"/>
  <c r="X11" i="5"/>
  <c r="V12" i="5"/>
  <c r="E12" i="5"/>
  <c r="X12" i="5" s="1"/>
  <c r="V13" i="5"/>
  <c r="E13" i="5"/>
  <c r="X13" i="5" s="1"/>
  <c r="V14" i="5"/>
  <c r="E14" i="5"/>
  <c r="X14" i="5" s="1"/>
  <c r="V15" i="5"/>
  <c r="E15" i="5"/>
  <c r="X15" i="5" s="1"/>
  <c r="V16" i="5"/>
  <c r="E16" i="5"/>
  <c r="X16" i="5" s="1"/>
  <c r="V17" i="5"/>
  <c r="E17" i="5"/>
  <c r="X17" i="5" s="1"/>
  <c r="V18" i="5"/>
  <c r="E18" i="5"/>
  <c r="X18" i="5" s="1"/>
  <c r="V19" i="5"/>
  <c r="V20" i="5"/>
  <c r="E20" i="5"/>
  <c r="X20" i="5" s="1"/>
  <c r="V21" i="5"/>
  <c r="E21" i="5"/>
  <c r="X21" i="5" s="1"/>
  <c r="V22" i="5"/>
  <c r="E22" i="5"/>
  <c r="X22" i="5" s="1"/>
  <c r="V23" i="5"/>
  <c r="E23" i="5"/>
  <c r="X23" i="5" s="1"/>
  <c r="V24" i="5"/>
  <c r="E24" i="5"/>
  <c r="X24" i="5" s="1"/>
  <c r="V25" i="5"/>
  <c r="E25" i="5"/>
  <c r="X25" i="5" s="1"/>
  <c r="V26" i="5"/>
  <c r="E26" i="5"/>
  <c r="X26" i="5" s="1"/>
  <c r="V27" i="5"/>
  <c r="V28" i="5"/>
  <c r="E28" i="5"/>
  <c r="X28" i="5" s="1"/>
  <c r="V29" i="5"/>
  <c r="E29" i="5"/>
  <c r="X29" i="5" s="1"/>
  <c r="V30" i="5"/>
  <c r="E30" i="5"/>
  <c r="V31" i="5"/>
  <c r="E31" i="5"/>
  <c r="X31" i="5" s="1"/>
  <c r="V32" i="5"/>
  <c r="E32" i="5"/>
  <c r="X32" i="5" s="1"/>
  <c r="V33" i="5"/>
  <c r="E33" i="5"/>
  <c r="X33" i="5" s="1"/>
  <c r="V34" i="5"/>
  <c r="E34" i="5"/>
  <c r="X34" i="5" s="1"/>
  <c r="V35" i="5"/>
  <c r="E35" i="5"/>
  <c r="X35" i="5" s="1"/>
  <c r="V36" i="5"/>
  <c r="E36" i="5"/>
  <c r="V37" i="5"/>
  <c r="E37" i="5"/>
  <c r="X37" i="5" s="1"/>
  <c r="V38" i="5"/>
  <c r="E38" i="5"/>
  <c r="X38" i="5" s="1"/>
  <c r="V39" i="5"/>
  <c r="E39" i="5"/>
  <c r="X39" i="5" s="1"/>
  <c r="V40" i="5"/>
  <c r="E40" i="5"/>
  <c r="V41" i="5"/>
  <c r="E41" i="5"/>
  <c r="X41" i="5" s="1"/>
  <c r="V42" i="5"/>
  <c r="E42" i="5"/>
  <c r="X42" i="5" s="1"/>
  <c r="V43" i="5"/>
  <c r="V44" i="5"/>
  <c r="E44" i="5"/>
  <c r="X44" i="5" s="1"/>
  <c r="V45" i="5"/>
  <c r="E45" i="5"/>
  <c r="X45" i="5" s="1"/>
  <c r="V46" i="5"/>
  <c r="E46" i="5"/>
  <c r="X46" i="5" s="1"/>
  <c r="V47" i="5"/>
  <c r="E47" i="5"/>
  <c r="X47" i="5"/>
  <c r="V48" i="5"/>
  <c r="E48" i="5"/>
  <c r="X48" i="5" s="1"/>
  <c r="V49" i="5"/>
  <c r="V50" i="5"/>
  <c r="E50" i="5"/>
  <c r="X50" i="5" s="1"/>
  <c r="V51" i="5"/>
  <c r="E51" i="5"/>
  <c r="X51" i="5" s="1"/>
  <c r="V52" i="5"/>
  <c r="E52" i="5"/>
  <c r="X52" i="5" s="1"/>
  <c r="V53" i="5"/>
  <c r="E53" i="5"/>
  <c r="X53" i="5" s="1"/>
  <c r="V54" i="5"/>
  <c r="E54" i="5"/>
  <c r="X54" i="5" s="1"/>
  <c r="V55" i="5"/>
  <c r="E55" i="5"/>
  <c r="X55" i="5" s="1"/>
  <c r="V56" i="5"/>
  <c r="E56" i="5"/>
  <c r="X56" i="5" s="1"/>
  <c r="V57" i="5"/>
  <c r="E57" i="5"/>
  <c r="X57" i="5" s="1"/>
  <c r="V58" i="5"/>
  <c r="E58" i="5"/>
  <c r="X58" i="5" s="1"/>
  <c r="V59" i="5"/>
  <c r="E59" i="5"/>
  <c r="X59" i="5" s="1"/>
  <c r="V60" i="5"/>
  <c r="E60" i="5"/>
  <c r="V61" i="5"/>
  <c r="V62" i="5"/>
  <c r="V63" i="5"/>
  <c r="E63" i="5"/>
  <c r="X63" i="5" s="1"/>
  <c r="V64" i="5"/>
  <c r="E64" i="5"/>
  <c r="V65" i="5"/>
  <c r="E65" i="5"/>
  <c r="X65" i="5" s="1"/>
  <c r="V66" i="5"/>
  <c r="E66" i="5"/>
  <c r="X66" i="5" s="1"/>
  <c r="V67" i="5"/>
  <c r="E67" i="5"/>
  <c r="X67" i="5" s="1"/>
  <c r="V68" i="5"/>
  <c r="E68" i="5"/>
  <c r="V69" i="5"/>
  <c r="E69" i="5"/>
  <c r="X69" i="5" s="1"/>
  <c r="V70" i="5"/>
  <c r="E70" i="5"/>
  <c r="X70" i="5" s="1"/>
  <c r="V71" i="5"/>
  <c r="H71" i="5"/>
  <c r="E71" i="5"/>
  <c r="X71" i="5" s="1"/>
  <c r="V72" i="5"/>
  <c r="E72" i="5"/>
  <c r="V73" i="5"/>
  <c r="E73" i="5"/>
  <c r="X73" i="5" s="1"/>
  <c r="V74" i="5"/>
  <c r="E74" i="5"/>
  <c r="X74" i="5" s="1"/>
  <c r="V75" i="5"/>
  <c r="E75" i="5"/>
  <c r="X75" i="5" s="1"/>
  <c r="V76" i="5"/>
  <c r="E76" i="5"/>
  <c r="X76" i="5" s="1"/>
  <c r="V77" i="5"/>
  <c r="E77" i="5"/>
  <c r="X77" i="5" s="1"/>
  <c r="V78" i="5"/>
  <c r="V79" i="5"/>
  <c r="E79" i="5"/>
  <c r="X79" i="5" s="1"/>
  <c r="V80" i="5"/>
  <c r="E80" i="5"/>
  <c r="X80" i="5" s="1"/>
  <c r="V81" i="5"/>
  <c r="E81" i="5"/>
  <c r="X81" i="5" s="1"/>
  <c r="V82" i="5"/>
  <c r="E82" i="5"/>
  <c r="X82" i="5" s="1"/>
  <c r="V83" i="5"/>
  <c r="E83" i="5"/>
  <c r="X83" i="5" s="1"/>
  <c r="V84" i="5"/>
  <c r="E84" i="5"/>
  <c r="V85" i="5"/>
  <c r="E85" i="5"/>
  <c r="X85" i="5" s="1"/>
  <c r="V86" i="5"/>
  <c r="E86" i="5"/>
  <c r="X86" i="5" s="1"/>
  <c r="V87" i="5"/>
  <c r="V88" i="5"/>
  <c r="E88" i="5"/>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V344" i="5"/>
  <c r="E344" i="5"/>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9" i="6" s="1"/>
  <c r="H9" i="6" s="1"/>
  <c r="D9" i="6" s="1"/>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s="1"/>
  <c r="H11" i="6" s="1"/>
  <c r="D11" i="6" s="1"/>
  <c r="G10" i="6"/>
  <c r="H10" i="6" s="1"/>
  <c r="D10" i="6" s="1"/>
  <c r="B8" i="6"/>
  <c r="G8" i="6"/>
  <c r="H8" i="6"/>
  <c r="D8" i="6"/>
  <c r="B7" i="6"/>
  <c r="G7" i="6" s="1"/>
  <c r="H7" i="6" s="1"/>
  <c r="D7" i="6" s="1"/>
  <c r="B6" i="6"/>
  <c r="G6" i="6"/>
  <c r="B5" i="6"/>
  <c r="F6" i="6"/>
  <c r="H6" i="6"/>
  <c r="B4" i="6"/>
  <c r="G4" i="6"/>
  <c r="H4" i="6" s="1"/>
  <c r="D4" i="6" s="1"/>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G15" i="6"/>
  <c r="H15" i="6"/>
  <c r="B20" i="6"/>
  <c r="F25" i="6"/>
  <c r="B21" i="6"/>
  <c r="B51" i="6"/>
  <c r="G51" i="6"/>
  <c r="G16" i="6"/>
  <c r="H16" i="6"/>
  <c r="B19" i="6"/>
  <c r="A38" i="2"/>
  <c r="J4" i="5"/>
  <c r="B41" i="4"/>
  <c r="A27" i="6" s="1"/>
  <c r="A55" i="2"/>
  <c r="A73" i="2"/>
  <c r="B9" i="3"/>
  <c r="A3" i="2"/>
  <c r="A20" i="2"/>
  <c r="B17" i="3"/>
  <c r="B29" i="4"/>
  <c r="B25" i="3"/>
  <c r="C20" i="3"/>
  <c r="A75" i="2"/>
  <c r="C25" i="3"/>
  <c r="N4" i="5"/>
  <c r="A43" i="2"/>
  <c r="C3" i="3"/>
  <c r="C19" i="3"/>
  <c r="B31" i="4"/>
  <c r="A18" i="6" s="1"/>
  <c r="P4" i="5"/>
  <c r="A45" i="2"/>
  <c r="C4" i="3"/>
  <c r="B26" i="4"/>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B34" i="4" s="1"/>
  <c r="A21" i="6" s="1"/>
  <c r="B40" i="4"/>
  <c r="F4" i="5"/>
  <c r="A2" i="2"/>
  <c r="A19" i="2"/>
  <c r="A37" i="2"/>
  <c r="A54" i="2"/>
  <c r="A72" i="2"/>
  <c r="C8" i="3"/>
  <c r="C16" i="3"/>
  <c r="C24" i="3"/>
  <c r="D2" i="4"/>
  <c r="B17" i="4"/>
  <c r="A9" i="6" s="1"/>
  <c r="H4" i="5"/>
  <c r="J14" i="6"/>
  <c r="I14" i="6"/>
  <c r="C14" i="6" s="1"/>
  <c r="J15" i="6"/>
  <c r="J16" i="6"/>
  <c r="J17" i="6"/>
  <c r="I17" i="6"/>
  <c r="C17" i="6"/>
  <c r="J25" i="6"/>
  <c r="B25" i="6"/>
  <c r="G25" i="6"/>
  <c r="H25" i="6"/>
  <c r="I25" i="6"/>
  <c r="C25" i="6" s="1"/>
  <c r="I26" i="6"/>
  <c r="C26" i="6" s="1"/>
  <c r="J37" i="6"/>
  <c r="F37" i="6"/>
  <c r="B37" i="6"/>
  <c r="G37" i="6"/>
  <c r="H37" i="6"/>
  <c r="I37" i="6"/>
  <c r="C37" i="6" s="1"/>
  <c r="J45" i="6"/>
  <c r="F45" i="6"/>
  <c r="B45" i="6"/>
  <c r="G45" i="6"/>
  <c r="H45" i="6"/>
  <c r="I45" i="6"/>
  <c r="C45" i="6" s="1"/>
  <c r="I46" i="6"/>
  <c r="C46" i="6" s="1"/>
  <c r="I54" i="6"/>
  <c r="C54" i="6" s="1"/>
  <c r="J63" i="6"/>
  <c r="F24" i="6"/>
  <c r="F26" i="6"/>
  <c r="F54" i="6"/>
  <c r="F63" i="6"/>
  <c r="H63" i="6"/>
  <c r="I63" i="6"/>
  <c r="C63" i="6" s="1"/>
  <c r="J64" i="6"/>
  <c r="J66" i="6"/>
  <c r="I67" i="6"/>
  <c r="A1" i="8"/>
  <c r="I19" i="6"/>
  <c r="C19" i="6" s="1"/>
  <c r="J26" i="6"/>
  <c r="B26" i="6"/>
  <c r="G26" i="6"/>
  <c r="H26" i="6"/>
  <c r="I27" i="6"/>
  <c r="I39" i="6"/>
  <c r="C39" i="6" s="1"/>
  <c r="J46" i="6"/>
  <c r="F46" i="6"/>
  <c r="B46" i="6"/>
  <c r="G46" i="6"/>
  <c r="H46" i="6"/>
  <c r="I47" i="6"/>
  <c r="C47" i="6" s="1"/>
  <c r="J54" i="6"/>
  <c r="H54" i="6"/>
  <c r="I55" i="6"/>
  <c r="C55" i="6" s="1"/>
  <c r="I56" i="6"/>
  <c r="C56" i="6" s="1"/>
  <c r="F55" i="6"/>
  <c r="F56" i="6"/>
  <c r="H56" i="6"/>
  <c r="J56" i="6"/>
  <c r="L65" i="6"/>
  <c r="J67" i="6"/>
  <c r="I68" i="6"/>
  <c r="C68" i="6" s="1"/>
  <c r="I69" i="6"/>
  <c r="A4" i="8"/>
  <c r="A23" i="2"/>
  <c r="A40" i="2"/>
  <c r="A49" i="2"/>
  <c r="A65" i="2"/>
  <c r="B2" i="3"/>
  <c r="B6" i="3"/>
  <c r="B10" i="3"/>
  <c r="B14" i="3"/>
  <c r="B22" i="3"/>
  <c r="B26" i="3"/>
  <c r="B30" i="3"/>
  <c r="I4" i="4"/>
  <c r="B12" i="4"/>
  <c r="B20" i="4"/>
  <c r="A11" i="6" s="1"/>
  <c r="B45" i="4"/>
  <c r="A30" i="6" s="1"/>
  <c r="I74" i="4"/>
  <c r="B89" i="4"/>
  <c r="A63" i="6" s="1"/>
  <c r="K4" i="5"/>
  <c r="A15" i="2"/>
  <c r="A32" i="2"/>
  <c r="A50" i="2"/>
  <c r="A66" i="2"/>
  <c r="C6" i="3"/>
  <c r="C14" i="3"/>
  <c r="C22" i="3"/>
  <c r="C30" i="3"/>
  <c r="B27" i="4"/>
  <c r="B43" i="4"/>
  <c r="A28" i="6" s="1"/>
  <c r="A3" i="6"/>
  <c r="J19" i="6"/>
  <c r="G19" i="6"/>
  <c r="H19" i="6"/>
  <c r="I20" i="6"/>
  <c r="J27" i="6"/>
  <c r="B27" i="6"/>
  <c r="G27" i="6"/>
  <c r="H27" i="6"/>
  <c r="C27" i="6"/>
  <c r="I29" i="6"/>
  <c r="I30" i="6"/>
  <c r="C30" i="6" s="1"/>
  <c r="I31" i="6"/>
  <c r="C31" i="6" s="1"/>
  <c r="I32" i="6"/>
  <c r="C32" i="6" s="1"/>
  <c r="J39" i="6"/>
  <c r="F39" i="6"/>
  <c r="B39" i="6"/>
  <c r="G39" i="6"/>
  <c r="H39" i="6"/>
  <c r="I40" i="6"/>
  <c r="C40" i="6" s="1"/>
  <c r="J47" i="6"/>
  <c r="F47" i="6"/>
  <c r="B47" i="6"/>
  <c r="G47" i="6"/>
  <c r="H47" i="6"/>
  <c r="J55" i="6"/>
  <c r="H55" i="6"/>
  <c r="I57" i="6"/>
  <c r="C57" i="6" s="1"/>
  <c r="L66" i="6"/>
  <c r="J68" i="6"/>
  <c r="B4" i="8"/>
  <c r="A6" i="2"/>
  <c r="A14" i="2"/>
  <c r="A31" i="2"/>
  <c r="A57" i="2"/>
  <c r="B18" i="3"/>
  <c r="A7" i="2"/>
  <c r="A24" i="2"/>
  <c r="A41" i="2"/>
  <c r="A58" i="2"/>
  <c r="C2" i="3"/>
  <c r="C10" i="3"/>
  <c r="C18" i="3"/>
  <c r="C26" i="3"/>
  <c r="B13" i="4"/>
  <c r="B21" i="4"/>
  <c r="B38" i="4"/>
  <c r="B56" i="4" s="1"/>
  <c r="A39" i="6" s="1"/>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G20" i="6"/>
  <c r="H20" i="6"/>
  <c r="C20" i="6"/>
  <c r="I21" i="6"/>
  <c r="C21" i="6" s="1"/>
  <c r="J29" i="6"/>
  <c r="F29" i="6"/>
  <c r="B29" i="6"/>
  <c r="G29" i="6"/>
  <c r="H29" i="6"/>
  <c r="C29" i="6"/>
  <c r="J30" i="6"/>
  <c r="F30" i="6"/>
  <c r="B30" i="6"/>
  <c r="G30" i="6"/>
  <c r="H30" i="6"/>
  <c r="J31" i="6"/>
  <c r="F31" i="6"/>
  <c r="B31" i="6"/>
  <c r="G31" i="6"/>
  <c r="H31" i="6"/>
  <c r="J32" i="6"/>
  <c r="F32" i="6"/>
  <c r="B32" i="6"/>
  <c r="G32" i="6"/>
  <c r="H32" i="6"/>
  <c r="J40" i="6"/>
  <c r="F40" i="6"/>
  <c r="B40" i="6"/>
  <c r="G40" i="6"/>
  <c r="H40" i="6"/>
  <c r="I41" i="6"/>
  <c r="I49" i="6"/>
  <c r="C49" i="6" s="1"/>
  <c r="J57" i="6"/>
  <c r="F57" i="6"/>
  <c r="H57" i="6"/>
  <c r="I58" i="6"/>
  <c r="C58" i="6" s="1"/>
  <c r="L67" i="6"/>
  <c r="A1" i="7"/>
  <c r="D4" i="8"/>
  <c r="C3" i="6"/>
  <c r="I4" i="6"/>
  <c r="I5" i="6"/>
  <c r="C5" i="6" s="1"/>
  <c r="J21" i="6"/>
  <c r="G21" i="6"/>
  <c r="H21" i="6"/>
  <c r="I22" i="6"/>
  <c r="C22" i="6" s="1"/>
  <c r="I34" i="6"/>
  <c r="C34" i="6" s="1"/>
  <c r="J41" i="6"/>
  <c r="F41" i="6"/>
  <c r="B41" i="6"/>
  <c r="G41" i="6"/>
  <c r="H41" i="6"/>
  <c r="C41" i="6"/>
  <c r="I42" i="6"/>
  <c r="C42" i="6" s="1"/>
  <c r="J49" i="6"/>
  <c r="F49" i="6"/>
  <c r="B49" i="6"/>
  <c r="G49" i="6"/>
  <c r="H49" i="6"/>
  <c r="I50" i="6"/>
  <c r="C50" i="6" s="1"/>
  <c r="J58" i="6"/>
  <c r="F58" i="6"/>
  <c r="H58" i="6"/>
  <c r="I59" i="6"/>
  <c r="C59" i="6" s="1"/>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C6" i="6" s="1"/>
  <c r="I7" i="6"/>
  <c r="I8" i="6"/>
  <c r="I9" i="6"/>
  <c r="I10" i="6"/>
  <c r="I11" i="6"/>
  <c r="I12" i="6"/>
  <c r="C12" i="6" s="1"/>
  <c r="J22" i="6"/>
  <c r="G22" i="6"/>
  <c r="H22" i="6"/>
  <c r="J34" i="6"/>
  <c r="F34" i="6"/>
  <c r="B34" i="6"/>
  <c r="G34" i="6"/>
  <c r="H34" i="6"/>
  <c r="I35" i="6"/>
  <c r="C35" i="6" s="1"/>
  <c r="J42" i="6"/>
  <c r="F42" i="6"/>
  <c r="B42" i="6"/>
  <c r="G42" i="6"/>
  <c r="H42" i="6"/>
  <c r="J50" i="6"/>
  <c r="F50" i="6"/>
  <c r="B50" i="6"/>
  <c r="G50" i="6"/>
  <c r="H50" i="6"/>
  <c r="I51" i="6"/>
  <c r="C51" i="6" s="1"/>
  <c r="J59" i="6"/>
  <c r="F59" i="6"/>
  <c r="H59" i="6"/>
  <c r="I60" i="6"/>
  <c r="C60" i="6" s="1"/>
  <c r="C5" i="7"/>
  <c r="D1" i="6"/>
  <c r="J6" i="6"/>
  <c r="J7" i="6"/>
  <c r="J8" i="6"/>
  <c r="J9" i="6"/>
  <c r="J10" i="6"/>
  <c r="J11" i="6"/>
  <c r="J12" i="6"/>
  <c r="I24" i="6"/>
  <c r="C24" i="6" s="1"/>
  <c r="J35" i="6"/>
  <c r="F35" i="6"/>
  <c r="B35" i="6"/>
  <c r="G35" i="6"/>
  <c r="H35" i="6"/>
  <c r="I36" i="6"/>
  <c r="C36" i="6" s="1"/>
  <c r="I44" i="6"/>
  <c r="C44" i="6" s="1"/>
  <c r="J51" i="6"/>
  <c r="F51" i="6"/>
  <c r="H51" i="6"/>
  <c r="I52" i="6"/>
  <c r="C52" i="6" s="1"/>
  <c r="J60" i="6"/>
  <c r="F60" i="6"/>
  <c r="H60" i="6"/>
  <c r="I62" i="6"/>
  <c r="C62" i="6" s="1"/>
  <c r="I65" i="6"/>
  <c r="C65" i="6" s="1"/>
  <c r="F5" i="7"/>
  <c r="B10" i="4"/>
  <c r="A6" i="6" s="1"/>
  <c r="B18" i="4"/>
  <c r="A10" i="6" s="1"/>
  <c r="G25" i="4"/>
  <c r="G43" i="4" s="1"/>
  <c r="B44" i="4"/>
  <c r="A29" i="6" s="1"/>
  <c r="B49" i="4"/>
  <c r="A33" i="6" s="1"/>
  <c r="B85" i="4"/>
  <c r="A60" i="6" s="1"/>
  <c r="A4" i="5"/>
  <c r="I4" i="5"/>
  <c r="I15" i="6"/>
  <c r="C15" i="6" s="1"/>
  <c r="I16" i="6"/>
  <c r="C16" i="6" s="1"/>
  <c r="J24" i="6"/>
  <c r="B24" i="6"/>
  <c r="G24" i="6"/>
  <c r="H24" i="6"/>
  <c r="J36" i="6"/>
  <c r="F36" i="6"/>
  <c r="B36" i="6"/>
  <c r="G36" i="6"/>
  <c r="H36" i="6"/>
  <c r="J44" i="6"/>
  <c r="F44" i="6"/>
  <c r="B44" i="6"/>
  <c r="G44" i="6"/>
  <c r="H44" i="6"/>
  <c r="J52" i="6"/>
  <c r="F52" i="6"/>
  <c r="B52" i="6"/>
  <c r="G52" i="6"/>
  <c r="H52" i="6"/>
  <c r="J62" i="6"/>
  <c r="F62" i="6"/>
  <c r="H62" i="6"/>
  <c r="I64" i="6"/>
  <c r="J65" i="6"/>
  <c r="I66" i="6"/>
  <c r="C66" i="6" s="1"/>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B71" i="4"/>
  <c r="A52" i="6" s="1"/>
  <c r="B59" i="4"/>
  <c r="A42" i="6" s="1"/>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s="1"/>
  <c r="B52" i="4"/>
  <c r="A36" i="6" s="1"/>
  <c r="B58" i="4"/>
  <c r="A41" i="6" s="1"/>
  <c r="B64" i="4"/>
  <c r="A46" i="6" s="1"/>
  <c r="D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s="1"/>
  <c r="F43" i="5"/>
  <c r="E43" i="5"/>
  <c r="X43" i="5" s="1"/>
  <c r="H87" i="5"/>
  <c r="E87" i="5"/>
  <c r="X87" i="5" s="1"/>
  <c r="F103" i="5"/>
  <c r="E103" i="5"/>
  <c r="X103" i="5" s="1"/>
  <c r="I175" i="5"/>
  <c r="E175" i="5"/>
  <c r="X175" i="5" s="1"/>
  <c r="I19" i="5"/>
  <c r="E19" i="5"/>
  <c r="X19"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R7" i="5"/>
  <c r="X7" i="5"/>
  <c r="R8" i="5"/>
  <c r="X8" i="5"/>
  <c r="V209" i="5"/>
  <c r="G209" i="5"/>
  <c r="R379" i="5"/>
  <c r="E379" i="5"/>
  <c r="X379" i="5" s="1"/>
  <c r="H423" i="5"/>
  <c r="E423" i="5"/>
  <c r="X423" i="5" s="1"/>
  <c r="X30" i="5"/>
  <c r="X60" i="5"/>
  <c r="X64" i="5"/>
  <c r="X68" i="5"/>
  <c r="X88" i="5"/>
  <c r="X343" i="5"/>
  <c r="X36" i="5"/>
  <c r="X40" i="5"/>
  <c r="X72" i="5"/>
  <c r="X84" i="5"/>
  <c r="X101" i="5"/>
  <c r="X344" i="5"/>
  <c r="X53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R6" i="5"/>
  <c r="X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6" i="5"/>
  <c r="AB7" i="5"/>
  <c r="AB8" i="5"/>
  <c r="AB9" i="5"/>
  <c r="AB10"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R10" i="5"/>
  <c r="R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D6" i="6"/>
  <c r="B57" i="4"/>
  <c r="A40" i="6" s="1"/>
  <c r="A25" i="6"/>
  <c r="B63" i="4"/>
  <c r="A45" i="6" s="1"/>
  <c r="B69" i="4"/>
  <c r="A50" i="6" s="1"/>
  <c r="B51" i="4"/>
  <c r="A35" i="6" s="1"/>
  <c r="A17" i="6"/>
  <c r="B35" i="4"/>
  <c r="A22" i="6" s="1"/>
  <c r="D31" i="4"/>
  <c r="D55" i="4"/>
  <c r="D61" i="4"/>
  <c r="D37" i="4"/>
  <c r="D74" i="4"/>
  <c r="D43" i="4"/>
  <c r="E209" i="5"/>
  <c r="X209" i="5" s="1"/>
  <c r="J209" i="5"/>
  <c r="R209" i="5"/>
  <c r="F209" i="5"/>
  <c r="H209" i="5"/>
  <c r="I209" i="5"/>
  <c r="R5" i="5"/>
  <c r="X5" i="5"/>
  <c r="G68" i="6"/>
  <c r="H68" i="6"/>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5" i="6"/>
  <c r="H65" i="6"/>
  <c r="G67" i="6"/>
  <c r="H67" i="6"/>
  <c r="G66" i="6"/>
  <c r="H66" i="6"/>
  <c r="D68" i="6"/>
  <c r="D65" i="6"/>
  <c r="D67" i="6"/>
  <c r="C67" i="6"/>
  <c r="D66" i="6"/>
  <c r="S6" i="5"/>
  <c r="S9" i="5"/>
  <c r="G64" i="6" a="1"/>
  <c r="S7" i="5"/>
  <c r="S10" i="5"/>
  <c r="T5" i="5"/>
  <c r="T8" i="5"/>
  <c r="S11" i="5"/>
  <c r="C8" i="6" l="1"/>
  <c r="C11" i="6"/>
  <c r="B68" i="4"/>
  <c r="A49" i="6" s="1"/>
  <c r="C10" i="6"/>
  <c r="G67" i="4"/>
  <c r="A24" i="6"/>
  <c r="B62" i="4"/>
  <c r="A44" i="6" s="1"/>
  <c r="B50" i="4"/>
  <c r="A34" i="6" s="1"/>
  <c r="C9" i="6"/>
  <c r="G61" i="4"/>
  <c r="G31" i="4"/>
  <c r="G49" i="4"/>
  <c r="D67" i="4"/>
  <c r="D49" i="4"/>
  <c r="B53" i="4"/>
  <c r="A37" i="6" s="1"/>
  <c r="B65" i="4"/>
  <c r="A47" i="6" s="1"/>
  <c r="C7" i="6"/>
  <c r="G55" i="4"/>
  <c r="G74" i="4"/>
  <c r="G69" i="6" a="1"/>
  <c r="G69" i="6" s="1"/>
  <c r="H69" i="6" s="1"/>
  <c r="G37" i="4"/>
  <c r="C4" i="6"/>
  <c r="A16" i="6"/>
  <c r="A15" i="6"/>
  <c r="B33" i="4"/>
  <c r="A20" i="6" s="1"/>
  <c r="A14" i="6"/>
  <c r="B32" i="4"/>
  <c r="A19" i="6" s="1"/>
  <c r="G64" i="6"/>
  <c r="T11" i="5"/>
  <c r="T6" i="5"/>
  <c r="T10" i="5"/>
  <c r="T7" i="5"/>
  <c r="B64" i="6" l="1"/>
  <c r="H64" i="6"/>
  <c r="H70" i="6" l="1"/>
  <c r="D2" i="6" s="1"/>
  <c r="C64" i="6"/>
  <c r="D6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<sst xmlns="http://schemas.openxmlformats.org/spreadsheetml/2006/main" count="22641" uniqueCount="15899">
  <si>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</si>
  <si>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</si>
  <si>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</si>
  <si>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</si>
  <si>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</si>
  <si>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</si>
  <si>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</si>
  <si>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</si>
  <si>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</si>
  <si>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</si>
  <si>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</si>
  <si>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</si>
  <si>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</si>
  <si>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</si>
  <si>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</si>
  <si>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</si>
  <si>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</si>
  <si>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</si>
  <si>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</si>
  <si>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</si>
  <si>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</si>
  <si>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</si>
  <si>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</si>
  <si>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</si>
  <si>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</si>
  <si>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</si>
  <si>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</si>
  <si>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</si>
  <si>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</si>
  <si>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</si>
  <si>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</si>
  <si>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</si>
  <si>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</si>
  <si>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</si>
  <si>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</si>
  <si>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</si>
  <si>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</si>
  <si>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</si>
  <si>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</si>
  <si>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</si>
  <si>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</si>
  <si>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</si>
  <si>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</si>
  <si>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</si>
  <si>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</si>
  <si>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</si>
  <si>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</si>
  <si>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</si>
  <si>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</si>
  <si>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</si>
  <si>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</si>
  <si>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</si>
  <si>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</si>
  <si>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</si>
  <si>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</si>
  <si>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</si>
  <si>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</si>
  <si>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</si>
  <si>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</si>
  <si>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</si>
  <si>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</si>
  <si>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</si>
  <si>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</si>
  <si>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</si>
  <si>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</si>
  <si>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</si>
  <si>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</si>
  <si>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</si>
  <si>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</si>
  <si>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</si>
  <si>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</si>
  <si>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</si>
  <si>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</si>
  <si>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</si>
  <si>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</si>
  <si>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</si>
  <si>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</si>
  <si>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</si>
  <si>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</si>
  <si>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</si>
  <si>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</si>
  <si>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</si>
  <si>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</si>
  <si>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</si>
  <si>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</si>
  <si>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</si>
  <si>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</si>
  <si>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</si>
  <si>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</si>
  <si>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</si>
  <si>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</si>
  <si>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</si>
  <si>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</si>
  <si>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</si>
  <si>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</si>
  <si>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</si>
  <si>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</si>
  <si>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</si>
  <si>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</si>
  <si>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</si>
  <si>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</si>
  <si>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</si>
  <si>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</si>
  <si>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</si>
  <si>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</si>
  <si>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</si>
  <si>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</si>
  <si>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</si>
  <si>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</si>
  <si>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</si>
  <si>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</si>
  <si>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</si>
  <si>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</si>
  <si>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</si>
  <si>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</si>
  <si>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</si>
  <si>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</si>
  <si>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</si>
  <si>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</si>
  <si>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</si>
  <si>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</si>
  <si>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</si>
  <si>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</si>
  <si>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</si>
  <si>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</si>
  <si>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</si>
  <si>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</si>
  <si>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</si>
  <si>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</si>
  <si>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</si>
  <si>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</si>
  <si>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</si>
  <si>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</si>
  <si>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</si>
  <si>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</si>
  <si>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</si>
  <si>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</si>
  <si>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</si>
  <si>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</si>
  <si>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</si>
  <si>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</si>
  <si>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</si>
  <si>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</si>
  <si>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</si>
  <si>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</si>
  <si>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</si>
  <si>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</si>
  <si>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</si>
  <si>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</si>
  <si>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</si>
  <si>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</si>
  <si>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</si>
  <si>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</si>
  <si>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</si>
  <si>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</si>
  <si>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</si>
  <si>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</si>
  <si>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</si>
  <si>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</si>
  <si>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</si>
  <si>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</si>
  <si>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</si>
  <si>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</si>
  <si>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</si>
  <si>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</si>
  <si>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</si>
  <si>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</si>
  <si>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</si>
  <si>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</si>
  <si>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</si>
  <si>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</si>
  <si>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</si>
  <si>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</si>
  <si>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</si>
  <si>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</si>
  <si>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</si>
  <si>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</si>
  <si>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</si>
  <si>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</si>
  <si>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</si>
  <si>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</si>
  <si>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</si>
  <si>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</si>
  <si>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</si>
  <si>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</si>
  <si>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</si>
  <si>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</si>
  <si>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</si>
  <si>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</si>
  <si>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</si>
  <si>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</si>
  <si>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</si>
  <si>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</si>
  <si>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</si>
  <si>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</si>
  <si>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</si>
  <si>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</si>
  <si>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</si>
  <si>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</si>
  <si>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</si>
  <si>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</si>
  <si>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</si>
  <si>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</si>
  <si>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</si>
  <si>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</si>
  <si>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</si>
  <si>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</si>
  <si>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</si>
  <si>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</si>
  <si>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</si>
  <si>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</si>
  <si>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</si>
  <si>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</si>
  <si>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</si>
  <si>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</si>
  <si>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</si>
  <si>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</si>
  <si>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</si>
  <si>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</si>
  <si>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</si>
  <si>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</si>
  <si>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</si>
  <si>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</si>
  <si>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</si>
  <si>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</si>
  <si>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</si>
  <si>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</si>
  <si>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</si>
  <si>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</si>
  <si>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</si>
  <si>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</si>
  <si>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</si>
  <si>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</si>
  <si>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</si>
  <si>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</si>
  <si>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</si>
  <si>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</si>
  <si>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</si>
  <si>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</si>
  <si>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</si>
  <si>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</si>
  <si>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</si>
  <si>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</si>
  <si>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</si>
  <si>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</si>
  <si>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</si>
  <si>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</si>
  <si>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</si>
  <si>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</si>
  <si>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</si>
  <si>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</si>
  <si>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</si>
  <si>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</si>
  <si>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</si>
  <si>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</si>
  <si>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</si>
  <si>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</si>
  <si>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</si>
  <si>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</si>
  <si>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</si>
  <si>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</si>
  <si>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</si>
  <si>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</si>
  <si>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</si>
  <si>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</si>
  <si>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</si>
  <si>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</si>
  <si>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</si>
  <si>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</si>
  <si>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</si>
  <si>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</si>
  <si>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</si>
  <si>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</si>
  <si>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</si>
  <si>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</si>
  <si>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</si>
  <si>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</si>
  <si>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</si>
  <si>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</si>
  <si>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</si>
  <si>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</si>
  <si>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</si>
  <si>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</si>
  <si>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</si>
  <si>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</si>
  <si>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</si>
  <si>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</si>
  <si>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</si>
  <si>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</si>
  <si>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</si>
  <si>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</si>
  <si>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</si>
  <si>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</si>
  <si>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</si>
  <si>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</si>
  <si>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</si>
  <si>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</si>
  <si>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</si>
  <si>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</si>
  <si>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</si>
  <si>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</si>
  <si>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</si>
  <si>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</si>
  <si>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</si>
  <si>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</si>
  <si>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</si>
  <si>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</si>
  <si>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</si>
  <si>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</si>
  <si>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</si>
  <si>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</si>
  <si>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</si>
  <si>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</si>
  <si>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</si>
  <si>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</si>
  <si>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</si>
  <si>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</si>
  <si>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</si>
  <si>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</si>
  <si>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</si>
  <si>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</si>
  <si>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</si>
  <si>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</si>
  <si>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</si>
  <si>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</si>
  <si>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</si>
  <si>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</si>
  <si>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</si>
  <si>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</si>
  <si>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</si>
  <si>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</si>
  <si>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</si>
  <si>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</si>
  <si>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</si>
  <si>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</si>
  <si>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</si>
  <si>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</si>
  <si>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</si>
  <si>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</si>
  <si>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</si>
  <si>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</si>
  <si>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</si>
  <si>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</si>
  <si>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</si>
  <si>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</si>
  <si>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</si>
  <si>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</si>
  <si>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</si>
  <si>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</si>
  <si>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</si>
  <si>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</si>
  <si>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</si>
  <si>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</si>
  <si>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</si>
  <si>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</si>
  <si>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</si>
  <si>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</si>
  <si>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</si>
  <si>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</si>
  <si>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</si>
  <si>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</si>
  <si>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</si>
  <si>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</si>
  <si>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</si>
  <si>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</si>
  <si>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</si>
  <si>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</si>
  <si>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</si>
  <si>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</si>
  <si>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</si>
  <si>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</si>
  <si>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</si>
  <si>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</si>
  <si>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</si>
  <si>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</si>
  <si>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</si>
  <si>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</si>
  <si>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</si>
  <si>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</si>
  <si>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</si>
  <si>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</si>
  <si>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</si>
  <si>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</si>
  <si>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</si>
  <si>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</si>
  <si>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</si>
  <si>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</si>
  <si>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</si>
  <si>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</si>
  <si>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</si>
  <si>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</si>
  <si>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</si>
  <si>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</si>
  <si>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</si>
  <si>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</si>
  <si>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</si>
  <si>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</si>
  <si>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</si>
  <si>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</si>
  <si>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</si>
  <si>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</si>
  <si>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</si>
  <si>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</si>
  <si>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</si>
  <si>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</si>
  <si>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</si>
  <si>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</si>
  <si>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</si>
  <si>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</si>
  <si>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</si>
  <si>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</si>
  <si>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</si>
  <si>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</si>
  <si>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</si>
  <si>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</si>
  <si>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</si>
  <si>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</si>
  <si>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</si>
  <si>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</si>
  <si>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</si>
  <si>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</si>
  <si>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</si>
  <si>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</si>
  <si>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</si>
  <si>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</si>
  <si>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</si>
  <si>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</si>
  <si>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</si>
  <si>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</si>
  <si>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</si>
  <si>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</si>
  <si>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</si>
  <si>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</si>
  <si>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</si>
  <si>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</si>
  <si>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</si>
  <si>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</si>
  <si>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</si>
  <si>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</si>
  <si>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</si>
  <si>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</si>
  <si>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</si>
  <si>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</si>
  <si>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</si>
  <si>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</si>
  <si>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</si>
  <si>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</si>
  <si>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</si>
  <si>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</si>
  <si>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</si>
  <si>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</si>
  <si>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</si>
  <si>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</si>
  <si>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</si>
  <si>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</si>
  <si>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</si>
  <si>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</si>
  <si>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</si>
  <si>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</si>
  <si>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</si>
  <si>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</si>
  <si>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</si>
  <si>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</si>
  <si>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</si>
  <si>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</si>
  <si>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</si>
  <si>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</si>
  <si>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</si>
  <si>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</si>
  <si>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</si>
  <si>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</si>
  <si>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</si>
  <si>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</si>
  <si>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</si>
  <si>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</si>
  <si>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</si>
  <si>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</si>
  <si>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</si>
  <si>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</si>
  <si>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</si>
  <si>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</si>
  <si>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</si>
  <si>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</si>
  <si>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</si>
  <si>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</si>
  <si>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</si>
  <si>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</si>
  <si>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</si>
  <si>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</si>
  <si>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</si>
  <si>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</si>
  <si>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</si>
  <si>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</si>
  <si>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</si>
  <si>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</si>
  <si>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</si>
  <si>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</si>
  <si>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</si>
  <si>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</si>
  <si>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</si>
  <si>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</si>
  <si>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</si>
  <si>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</si>
  <si>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</si>
  <si>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</si>
  <si>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</si>
  <si>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</si>
  <si>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</si>
  <si>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</si>
  <si>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</si>
  <si>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</si>
  <si>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</si>
  <si>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</si>
  <si>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</si>
  <si>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</si>
  <si>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</si>
  <si>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</si>
  <si>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</si>
  <si>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</si>
  <si>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</si>
  <si>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</si>
  <si>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</si>
  <si>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</si>
  <si>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</si>
  <si>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</si>
  <si>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</si>
  <si>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</si>
  <si>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</si>
  <si>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</si>
  <si>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</si>
  <si>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</si>
  <si>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</si>
  <si>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</si>
  <si>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</si>
  <si>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</si>
  <si>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</si>
  <si>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</si>
  <si>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</si>
  <si>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</si>
  <si>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</si>
  <si>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</si>
  <si>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</si>
  <si>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</si>
  <si>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</si>
  <si>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</si>
  <si>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</si>
  <si>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</si>
  <si>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</si>
  <si>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</si>
  <si>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</si>
  <si>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</si>
  <si>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</si>
  <si>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</si>
  <si>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</si>
  <si>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</si>
  <si>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</si>
  <si>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</si>
  <si>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</si>
  <si>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</si>
  <si>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</si>
  <si>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</si>
  <si>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</si>
  <si>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</si>
  <si>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</si>
  <si>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</si>
  <si>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</si>
  <si>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</si>
  <si>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</si>
  <si>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</si>
  <si>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</si>
  <si>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</si>
  <si>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</si>
  <si>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</si>
  <si>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</si>
  <si>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</si>
  <si>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</si>
  <si>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</si>
  <si>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</si>
  <si>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</si>
  <si>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</si>
  <si>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</si>
  <si>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</si>
  <si>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</si>
  <si>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</si>
  <si>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</si>
  <si>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</si>
  <si>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</si>
  <si>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</si>
  <si>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</si>
  <si>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</si>
  <si>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</si>
  <si>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</si>
  <si>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</si>
  <si>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</si>
  <si>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</si>
  <si>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</si>
  <si>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</si>
  <si>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</si>
  <si>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</si>
  <si>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</si>
  <si>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</si>
  <si>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</si>
  <si>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</si>
  <si>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</si>
  <si>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</si>
  <si>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</si>
  <si>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</si>
  <si>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</si>
  <si>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</si>
  <si>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</si>
  <si>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</si>
  <si>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</si>
  <si>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</si>
  <si>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</si>
  <si>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</si>
  <si>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</si>
  <si>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</si>
  <si>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</si>
  <si>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</si>
  <si>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</si>
  <si>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</si>
  <si>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</si>
  <si>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</si>
  <si>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</si>
  <si>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</si>
  <si>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</si>
  <si>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</si>
  <si>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</si>
  <si>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</si>
  <si>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</si>
  <si>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</si>
  <si>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</si>
  <si>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</si>
  <si>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</si>
  <si>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</si>
  <si>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</si>
  <si>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</si>
  <si>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</si>
  <si>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</si>
  <si>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</si>
  <si>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</si>
  <si>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</si>
  <si>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</si>
  <si>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</si>
  <si>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</si>
  <si>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</si>
  <si>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</si>
  <si>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</si>
  <si>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</si>
  <si>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</si>
  <si>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</si>
  <si>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</si>
  <si>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</si>
  <si>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</si>
  <si>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</si>
  <si>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</si>
  <si>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</si>
  <si>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</si>
  <si>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</si>
  <si>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</si>
  <si>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</si>
  <si>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</si>
  <si>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</si>
  <si>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</si>
  <si>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</si>
  <si>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</si>
  <si>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</si>
  <si>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</si>
  <si>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</si>
  <si>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</si>
  <si>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</si>
  <si>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</si>
  <si>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</si>
  <si>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</si>
  <si>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</si>
  <si>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</si>
  <si>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</si>
  <si>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</si>
  <si>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</si>
  <si>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</si>
  <si>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</si>
  <si>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</si>
  <si>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</si>
  <si>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</si>
  <si>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</si>
  <si>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</si>
  <si>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</si>
  <si>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</si>
  <si>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</si>
  <si>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</si>
  <si>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</si>
  <si>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</si>
  <si>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</si>
  <si>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</si>
  <si>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</si>
  <si>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</si>
  <si>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</si>
  <si>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</si>
  <si>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</si>
  <si>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</si>
  <si>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</si>
  <si>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</si>
  <si>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</si>
  <si>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</si>
  <si>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</si>
  <si>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</si>
  <si>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</si>
  <si>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</si>
  <si>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</si>
  <si>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</si>
  <si>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</si>
  <si>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</si>
  <si>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</si>
  <si>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</si>
  <si>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</si>
  <si>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</si>
  <si>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</si>
  <si>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</si>
  <si>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</si>
  <si>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</si>
  <si>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</si>
  <si>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</si>
  <si>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</si>
  <si>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</si>
  <si>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</si>
  <si>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</si>
  <si>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</si>
  <si>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</si>
  <si>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</si>
  <si>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</si>
  <si>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</si>
  <si>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</si>
  <si>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</si>
  <si>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</si>
  <si>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</si>
  <si>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</si>
  <si>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</si>
  <si>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</si>
  <si>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</si>
  <si>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</si>
  <si>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</si>
  <si>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</si>
  <si>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</si>
  <si>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</si>
  <si>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</si>
  <si>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</si>
  <si>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</si>
  <si>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</si>
  <si>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</si>
  <si>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</si>
  <si>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</si>
  <si>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</si>
  <si>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</si>
  <si>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</si>
  <si>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</si>
  <si>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</si>
  <si>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</si>
  <si>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</si>
  <si>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</si>
  <si>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</si>
  <si>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</si>
  <si>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</si>
  <si>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</si>
  <si>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</si>
  <si>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</si>
  <si>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</si>
  <si>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</si>
  <si>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</si>
  <si>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</si>
  <si>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</si>
  <si>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</si>
  <si>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</si>
  <si>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</si>
  <si>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</si>
  <si>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</si>
  <si>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</si>
  <si>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</si>
  <si>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</si>
  <si>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</si>
  <si>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</si>
  <si>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</si>
  <si>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</si>
  <si>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</si>
  <si>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</si>
  <si>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</si>
  <si>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</si>
  <si>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</si>
  <si>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</si>
  <si>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</si>
  <si>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</si>
  <si>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</si>
  <si>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</si>
  <si>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</si>
  <si>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</si>
  <si>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</si>
  <si>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</si>
  <si>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</si>
  <si>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</si>
  <si>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</si>
  <si>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</si>
  <si>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</si>
  <si>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</si>
  <si>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</si>
  <si>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</si>
  <si>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</si>
  <si>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</si>
  <si>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</si>
  <si>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</si>
  <si>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</si>
  <si>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</si>
  <si>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</si>
  <si>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</si>
  <si>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</si>
  <si>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</si>
  <si>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</si>
  <si>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</si>
  <si>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</si>
  <si>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</si>
  <si>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</si>
  <si>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</si>
  <si>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</si>
  <si>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</si>
  <si>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</si>
  <si>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</si>
  <si>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</si>
  <si>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</si>
  <si>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</si>
  <si>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</si>
  <si>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</si>
  <si>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</si>
  <si>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</si>
  <si>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</si>
  <si>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</si>
  <si>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</si>
  <si>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</si>
  <si>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</si>
  <si>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</si>
  <si>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</si>
  <si>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</si>
  <si>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</si>
  <si>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</si>
  <si>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</si>
  <si>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</si>
  <si>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</si>
  <si>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</si>
  <si>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</si>
  <si>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</si>
  <si>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</si>
  <si>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</si>
  <si>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</si>
  <si>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</si>
  <si>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</si>
  <si>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</si>
  <si>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</si>
  <si>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</si>
  <si>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</si>
  <si>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</si>
  <si>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</si>
  <si>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</si>
  <si>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</si>
  <si>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</si>
  <si>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</si>
  <si>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</si>
  <si>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</si>
  <si>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</si>
  <si>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</si>
  <si>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</si>
  <si>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</si>
  <si>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</si>
  <si>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</si>
  <si>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</si>
  <si>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</si>
  <si>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</si>
  <si>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</si>
  <si>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</si>
  <si>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</si>
  <si>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</si>
  <si>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</si>
  <si>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</si>
  <si>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</si>
  <si>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</si>
  <si>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</si>
  <si>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</si>
  <si>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</si>
  <si>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</si>
  <si>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</si>
  <si>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</si>
  <si>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</si>
  <si>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</si>
  <si>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</si>
  <si>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</si>
  <si>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</si>
  <si>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</si>
  <si>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</si>
  <si>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</si>
  <si>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</si>
  <si>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</si>
  <si>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</si>
  <si>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</si>
  <si>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</si>
  <si>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</si>
  <si>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</si>
  <si>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</si>
  <si>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</si>
  <si>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</si>
  <si>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</si>
  <si>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</si>
  <si>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</si>
  <si>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</si>
  <si>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</si>
  <si>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</si>
  <si>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</si>
  <si>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</si>
  <si>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</si>
  <si>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</si>
  <si>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</si>
  <si>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</si>
  <si>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</si>
  <si>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</si>
  <si>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</si>
  <si>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</si>
  <si>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</si>
  <si>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</si>
  <si>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</si>
  <si>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</si>
  <si>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</si>
  <si>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</si>
  <si>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</si>
  <si>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</si>
  <si>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</si>
  <si>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</si>
  <si>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</si>
  <si>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</si>
  <si>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</si>
  <si>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</si>
  <si>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</si>
  <si>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</si>
  <si>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</si>
  <si>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</si>
  <si>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</si>
  <si>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</si>
  <si>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</si>
  <si>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</si>
  <si>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</si>
  <si>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</si>
  <si>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</si>
  <si>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</si>
  <si>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</si>
  <si>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</si>
  <si>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</si>
  <si>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</si>
  <si>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</si>
  <si>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</si>
  <si>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</si>
  <si>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</si>
  <si>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</si>
  <si>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</si>
  <si>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</si>
  <si>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</si>
  <si>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</si>
  <si>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</si>
  <si>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</si>
  <si>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</si>
  <si>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</si>
  <si>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</si>
  <si>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</si>
  <si>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</si>
  <si>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</si>
  <si>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</si>
  <si>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</si>
  <si>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</si>
  <si>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</si>
  <si>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</si>
  <si>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</si>
  <si>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</si>
  <si>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</si>
  <si>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</si>
  <si>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</si>
  <si>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</si>
  <si>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</si>
  <si>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</si>
  <si>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</si>
  <si>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</si>
  <si>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</si>
  <si>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</si>
  <si>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</si>
  <si>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</si>
  <si>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</si>
  <si>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</si>
  <si>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</si>
  <si>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</si>
  <si>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</si>
  <si>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</si>
  <si>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</si>
  <si>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</si>
  <si>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</si>
  <si>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</si>
  <si>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</si>
  <si>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</si>
  <si>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</si>
  <si>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</si>
  <si>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</si>
  <si>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</si>
  <si>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</si>
  <si>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</si>
  <si>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</si>
  <si>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</si>
  <si>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</si>
  <si>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</si>
  <si>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</si>
  <si>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</si>
  <si>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</si>
  <si>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</si>
  <si>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</si>
  <si>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</si>
  <si>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</si>
  <si>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</si>
  <si>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</si>
  <si>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</si>
  <si>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</si>
  <si>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</si>
  <si>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</si>
  <si>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</si>
  <si>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</si>
  <si>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</si>
  <si>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</si>
  <si>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</si>
  <si>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</si>
  <si>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</si>
  <si>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</si>
  <si>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</si>
  <si>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</si>
  <si>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</si>
  <si>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</si>
  <si>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</si>
  <si>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</si>
  <si>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</si>
  <si>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</si>
  <si>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</si>
  <si>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</si>
  <si>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</si>
  <si>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</si>
  <si>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</si>
  <si>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</si>
  <si>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</si>
  <si>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</si>
  <si>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</si>
  <si>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</si>
  <si>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</si>
  <si>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</si>
  <si>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</si>
  <si>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</si>
  <si>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</si>
  <si>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</si>
  <si>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</si>
  <si>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</si>
  <si>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</si>
  <si>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</si>
  <si>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</si>
  <si>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</si>
  <si>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</si>
  <si>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</si>
  <si>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</si>
  <si>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</si>
  <si>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</si>
  <si>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</si>
  <si>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</si>
  <si>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</si>
  <si>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</si>
  <si>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</si>
  <si>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</si>
  <si>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</si>
  <si>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</si>
  <si>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</si>
  <si>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</si>
  <si>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</si>
  <si>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</si>
  <si>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</si>
  <si>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</si>
  <si>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</si>
  <si>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</si>
  <si>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</si>
  <si>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</si>
  <si>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</si>
  <si>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</si>
  <si>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</si>
  <si>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</si>
  <si>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</si>
  <si>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</si>
  <si>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</si>
  <si>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</si>
  <si>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</si>
  <si>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</si>
  <si>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</si>
  <si>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</si>
  <si>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</si>
  <si>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</si>
  <si>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</si>
  <si>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</si>
  <si>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</si>
  <si>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</si>
  <si>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</si>
  <si>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</si>
  <si>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</si>
  <si>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</si>
  <si>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</si>
  <si>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</si>
  <si>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</si>
  <si>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</si>
  <si>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</si>
  <si>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</si>
  <si>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</si>
  <si>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</si>
  <si>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</si>
  <si>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</si>
  <si>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</si>
  <si>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</si>
  <si>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</si>
  <si>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</si>
  <si>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</si>
  <si>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</si>
  <si>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</si>
  <si>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</si>
  <si>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</si>
  <si>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</si>
  <si>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</si>
  <si>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</si>
  <si>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</si>
  <si>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</si>
  <si>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</si>
  <si>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</si>
  <si>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</si>
  <si>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</si>
  <si>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</si>
  <si>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</si>
  <si>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</si>
  <si>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</si>
  <si>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</si>
  <si>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</si>
  <si>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</si>
  <si>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</si>
  <si>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</si>
  <si>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</si>
  <si>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</si>
  <si>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</si>
  <si>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</si>
  <si>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</si>
  <si>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</si>
  <si>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</si>
  <si>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</si>
  <si>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</si>
  <si>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</si>
  <si>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</si>
  <si>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</si>
  <si>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</si>
  <si>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</si>
  <si>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</si>
  <si>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</si>
  <si>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</si>
  <si>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</si>
  <si>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</si>
  <si>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</si>
  <si>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</si>
  <si>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</si>
  <si>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</si>
  <si>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</si>
  <si>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</si>
  <si>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</si>
  <si>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</si>
  <si>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</si>
  <si>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</si>
  <si>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</si>
  <si>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</si>
  <si>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</si>
  <si>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</si>
  <si>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</si>
  <si>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</si>
  <si>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</si>
  <si>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</si>
  <si>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</si>
  <si>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</si>
  <si>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</si>
  <si>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</si>
  <si>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</si>
  <si>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</si>
  <si>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</si>
  <si>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</si>
  <si>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</si>
  <si>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</si>
  <si>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</si>
  <si>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</si>
  <si>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</si>
  <si>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</si>
  <si>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</si>
  <si>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</si>
  <si>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</si>
  <si>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</si>
  <si>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</si>
  <si>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</si>
  <si>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</si>
  <si>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</si>
  <si>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</si>
  <si>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</si>
  <si>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</si>
  <si>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</si>
  <si>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</si>
  <si>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</si>
  <si>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</si>
  <si>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</si>
  <si>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</si>
  <si>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</si>
  <si>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</si>
  <si>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</si>
  <si>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</si>
  <si>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</si>
  <si>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</si>
  <si>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</si>
  <si>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</si>
  <si>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</si>
  <si>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</si>
  <si>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</si>
  <si>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</si>
  <si>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</si>
  <si>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</si>
  <si>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</si>
  <si>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</si>
  <si>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</si>
  <si>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</si>
  <si>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</si>
  <si>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</si>
  <si>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</si>
  <si>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</si>
  <si>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</si>
  <si>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</si>
  <si>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</si>
  <si>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</si>
  <si>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</si>
  <si>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</si>
  <si>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</si>
  <si>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</si>
  <si>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</si>
  <si>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</si>
  <si>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</si>
  <si>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</si>
  <si>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</si>
  <si>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</si>
  <si>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</si>
  <si>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</si>
  <si>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</si>
  <si>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</si>
  <si>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</si>
  <si>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</si>
  <si>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</si>
  <si>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</si>
  <si>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</si>
  <si>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</si>
  <si>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</si>
  <si>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</si>
  <si>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</si>
  <si>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</si>
  <si>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</si>
  <si>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</si>
  <si>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</si>
  <si>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</si>
  <si>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</si>
  <si>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</si>
  <si>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</si>
  <si>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</si>
  <si>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</si>
  <si>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</si>
  <si>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</si>
  <si>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</si>
  <si>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</si>
  <si>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</si>
  <si>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</si>
  <si>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</si>
  <si>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</si>
  <si>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</si>
  <si>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</si>
  <si>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</si>
  <si>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</si>
  <si>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</si>
  <si>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</si>
  <si>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</si>
  <si>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</si>
  <si>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</si>
  <si>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</si>
  <si>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</si>
  <si>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</si>
  <si>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</si>
  <si>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</si>
  <si>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</si>
  <si>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</si>
  <si>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</si>
  <si>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</si>
  <si>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</si>
  <si>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</si>
  <si>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</si>
  <si>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</si>
  <si>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</si>
  <si>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</si>
  <si>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</si>
  <si>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</si>
  <si>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</si>
  <si>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</si>
  <si>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</si>
  <si>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</si>
  <si>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</si>
  <si>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</si>
  <si>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</si>
  <si>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</si>
  <si>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</si>
  <si>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</si>
  <si>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</si>
  <si>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</si>
  <si>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</si>
  <si>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</si>
  <si>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</si>
  <si>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</si>
  <si>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</si>
  <si>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</si>
  <si>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</si>
  <si>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</si>
  <si>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</si>
  <si>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</si>
  <si>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</si>
  <si>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</si>
  <si>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</si>
  <si>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</si>
  <si>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</si>
  <si>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</si>
  <si>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</si>
  <si>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</si>
  <si>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</si>
  <si>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</si>
  <si>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</si>
  <si>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</si>
  <si>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</si>
  <si>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</si>
  <si>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</si>
  <si>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</si>
  <si>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</si>
  <si>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</si>
  <si>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</si>
  <si>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</si>
  <si>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</si>
  <si>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</si>
  <si>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</si>
  <si>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</si>
  <si>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</si>
  <si>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</si>
  <si>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</si>
  <si>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</si>
  <si>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</si>
  <si>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</si>
  <si>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</si>
  <si>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</si>
  <si>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</si>
  <si>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</si>
  <si>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</si>
  <si>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</si>
  <si>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</si>
  <si>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</si>
  <si>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</si>
  <si>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</si>
  <si>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</si>
  <si>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</si>
  <si>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</si>
  <si>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</si>
  <si>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</si>
  <si>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</si>
  <si>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</si>
  <si>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</si>
  <si>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</si>
  <si>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</si>
  <si>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</si>
  <si>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</si>
  <si>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</si>
  <si>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</si>
  <si>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</si>
  <si>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</si>
  <si>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</si>
  <si>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</si>
  <si>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</si>
  <si>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</si>
  <si>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</si>
  <si>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</si>
  <si>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</si>
  <si>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</si>
  <si>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</si>
  <si>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</si>
  <si>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</si>
  <si>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</si>
  <si>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</si>
  <si>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</si>
  <si>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</si>
  <si>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</si>
  <si>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</si>
  <si>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</si>
  <si>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</si>
  <si>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</si>
  <si>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</si>
  <si>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</si>
  <si>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</si>
  <si>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</si>
  <si>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</si>
  <si>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</si>
  <si>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</si>
  <si>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</si>
  <si>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</si>
  <si>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</si>
  <si>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</si>
  <si>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</si>
  <si>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</si>
  <si>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</si>
  <si>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</si>
  <si>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</si>
  <si>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</si>
  <si>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</si>
  <si>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</si>
  <si>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</si>
  <si>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</si>
  <si>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</si>
  <si>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</si>
  <si>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</si>
  <si>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</si>
  <si>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</si>
  <si>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</si>
  <si>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</si>
  <si>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</si>
  <si>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</si>
  <si>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</si>
  <si>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</si>
  <si>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</si>
  <si>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</si>
  <si>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</si>
  <si>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</si>
  <si>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</si>
  <si>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</si>
  <si>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</si>
  <si>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</si>
  <si>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</si>
  <si>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</si>
  <si>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</si>
  <si>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</si>
  <si>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</si>
  <si>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</si>
  <si>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</si>
  <si>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</si>
  <si>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</si>
  <si>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</si>
  <si>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</si>
  <si>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</si>
  <si>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</si>
  <si>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</si>
  <si>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</si>
  <si>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</si>
  <si>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</si>
  <si>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</si>
  <si>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</si>
  <si>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</si>
  <si>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</si>
  <si>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</si>
  <si>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</si>
  <si>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</si>
  <si>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</si>
  <si>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</si>
  <si>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</si>
  <si>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</si>
  <si>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</si>
  <si>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</si>
  <si>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</si>
  <si>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</si>
  <si>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</si>
  <si>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</si>
  <si>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</si>
  <si>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</si>
  <si>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</si>
  <si>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</si>
  <si>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</si>
  <si>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</si>
  <si>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</si>
  <si>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</si>
  <si>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</si>
  <si>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</si>
  <si>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</si>
  <si>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</si>
  <si>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</si>
  <si>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</si>
  <si>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</si>
  <si>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</si>
  <si>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</si>
  <si>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</si>
  <si>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</si>
  <si>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</si>
  <si>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</si>
  <si>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</si>
  <si>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</si>
  <si>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</si>
  <si>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</si>
  <si>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</si>
  <si>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</si>
  <si>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</si>
  <si>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</si>
  <si>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</si>
  <si>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</si>
  <si>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</si>
  <si>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</si>
  <si>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</si>
  <si>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</si>
  <si>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</si>
  <si>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</si>
  <si>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</si>
  <si>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</si>
  <si>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</si>
  <si>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</si>
  <si>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</si>
  <si>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</si>
  <si>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</si>
  <si>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</si>
  <si>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</si>
  <si>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</si>
  <si>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</si>
  <si>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</si>
  <si>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</si>
  <si>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</si>
  <si>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</si>
  <si>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</si>
  <si>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</si>
  <si>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</si>
  <si>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</si>
  <si>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</si>
  <si>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</si>
  <si>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</si>
  <si>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</si>
  <si>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</si>
  <si>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</si>
  <si>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</si>
  <si>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</si>
  <si>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</si>
  <si>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</si>
  <si>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</si>
  <si>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</si>
  <si>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</si>
  <si>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</si>
  <si>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</si>
  <si>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</si>
  <si>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</si>
  <si>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</si>
  <si>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</si>
  <si>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</si>
  <si>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</si>
  <si>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</si>
  <si>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</si>
  <si>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</si>
  <si>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</si>
  <si>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</si>
  <si>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</si>
  <si>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</si>
  <si>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</si>
  <si>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</si>
  <si>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</si>
  <si>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</si>
  <si>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</si>
  <si>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</si>
  <si>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</si>
  <si>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</si>
  <si>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</si>
  <si>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</si>
  <si>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</si>
  <si>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</si>
  <si>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</si>
  <si>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</si>
  <si>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</si>
  <si>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</si>
  <si>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</si>
  <si>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</si>
  <si>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</si>
  <si>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</si>
  <si>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</si>
  <si>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</si>
  <si>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</si>
  <si>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</si>
  <si>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</si>
  <si>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</si>
  <si>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</si>
  <si>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</si>
  <si>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</si>
  <si>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</si>
  <si>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</si>
  <si>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</si>
  <si>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</si>
  <si>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</si>
  <si>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</si>
  <si>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</si>
  <si>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</si>
  <si>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</si>
  <si>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</si>
  <si>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</si>
  <si>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</si>
  <si>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</si>
  <si>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</si>
  <si>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</si>
  <si>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</si>
  <si>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</si>
  <si>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</si>
  <si>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</si>
  <si>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</si>
  <si>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</si>
  <si>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</si>
  <si>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</si>
  <si>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</si>
  <si>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</si>
  <si>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</si>
  <si>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</si>
  <si>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</si>
  <si>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</si>
  <si>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</si>
  <si>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</si>
  <si>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</si>
  <si>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</si>
  <si>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</si>
  <si>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</si>
  <si>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</si>
  <si>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</si>
  <si>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</si>
  <si>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</si>
  <si>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</si>
  <si>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</si>
  <si>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</si>
  <si>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</si>
  <si>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</si>
  <si>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</si>
  <si>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</si>
  <si>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</si>
  <si>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</si>
  <si>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</si>
  <si>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</si>
  <si>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</si>
  <si>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</si>
  <si>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</si>
  <si>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</si>
  <si>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</si>
  <si>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</si>
  <si>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</si>
  <si>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</si>
  <si>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</si>
  <si>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</si>
  <si>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</si>
  <si>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</si>
  <si>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</si>
  <si>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</si>
  <si>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</si>
  <si>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</si>
  <si>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</si>
  <si>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</si>
  <si>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</si>
  <si>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</si>
  <si>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</si>
  <si>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</si>
  <si>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</si>
  <si>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</si>
  <si>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</si>
  <si>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</si>
  <si>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</si>
  <si>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</si>
  <si>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</si>
  <si>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</si>
  <si>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</si>
  <si>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</si>
  <si>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</si>
  <si>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</si>
  <si>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</si>
  <si>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</si>
  <si>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</si>
  <si>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</si>
  <si>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</si>
  <si>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</si>
  <si>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</si>
  <si>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</si>
  <si>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</si>
  <si>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</si>
  <si>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</si>
  <si>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</si>
  <si>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</si>
  <si>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</si>
  <si>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</si>
  <si>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</si>
  <si>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</si>
  <si>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</si>
  <si>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</si>
  <si>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</si>
  <si>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</si>
  <si>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</si>
  <si>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</si>
  <si>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</si>
  <si>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</si>
  <si>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</si>
  <si>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</si>
  <si>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</si>
  <si>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</si>
  <si>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</si>
  <si>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</si>
  <si>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</si>
  <si>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</si>
  <si>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</si>
  <si>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</si>
  <si>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</si>
  <si>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</si>
  <si>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</si>
  <si>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</si>
  <si>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</si>
  <si>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</si>
  <si>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</si>
  <si>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</si>
  <si>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</si>
  <si>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</si>
  <si>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</si>
  <si>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</si>
  <si>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</si>
  <si>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</si>
  <si>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</si>
  <si>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</si>
  <si>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</si>
  <si>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</si>
  <si>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</si>
  <si>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</si>
  <si>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</si>
  <si>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</si>
  <si>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</si>
  <si>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</si>
  <si>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</si>
  <si>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</si>
  <si>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</si>
  <si>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</si>
  <si>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</si>
  <si>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</si>
  <si>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</si>
  <si>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</si>
  <si>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</si>
  <si>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</si>
  <si>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</si>
  <si>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</si>
  <si>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</si>
  <si>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</si>
  <si>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</si>
  <si>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</si>
  <si>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</si>
  <si>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</si>
  <si>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</si>
  <si>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</si>
  <si>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</si>
  <si>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</si>
  <si>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</si>
  <si>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</si>
  <si>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</si>
  <si>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</si>
  <si>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</si>
  <si>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</si>
  <si>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</si>
  <si>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</si>
  <si>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</si>
  <si>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</si>
  <si>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</si>
  <si>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</si>
  <si>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</si>
  <si>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</si>
  <si>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</si>
  <si>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</si>
  <si>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</si>
  <si>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</si>
  <si>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</si>
  <si>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</si>
  <si>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</si>
  <si>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</si>
  <si>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</si>
  <si>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</si>
  <si>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</si>
  <si>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</si>
  <si>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</si>
  <si>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</si>
  <si>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</si>
  <si>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</si>
  <si>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</si>
  <si>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</si>
  <si>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</si>
  <si>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</si>
  <si>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</si>
  <si>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</si>
  <si>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</si>
  <si>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</si>
  <si>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</si>
  <si>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</si>
  <si>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</si>
  <si>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</si>
  <si>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</si>
  <si>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</si>
  <si>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</si>
  <si>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</si>
  <si>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</si>
  <si>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</si>
  <si>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</si>
  <si>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</si>
  <si>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</si>
  <si>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</si>
  <si>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</si>
  <si>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</si>
  <si>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</si>
  <si>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</si>
  <si>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</si>
  <si>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</si>
  <si>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</si>
  <si>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</si>
  <si>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</si>
  <si>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</si>
  <si>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</si>
  <si>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</si>
  <si>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</si>
  <si>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</si>
  <si>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</si>
  <si>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</si>
  <si>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</si>
  <si>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</si>
  <si>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</si>
  <si>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</si>
  <si>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</si>
  <si>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</si>
  <si>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</si>
  <si>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</si>
  <si>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</si>
  <si>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</si>
  <si>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</si>
  <si>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</si>
  <si>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</si>
  <si>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</si>
  <si>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</si>
  <si>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</si>
  <si>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</si>
  <si>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</si>
  <si>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</si>
  <si>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</si>
  <si>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</si>
  <si>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</si>
  <si>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</si>
  <si>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</si>
  <si>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</si>
  <si>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</si>
  <si>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</si>
  <si>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</si>
  <si>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</si>
  <si>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</si>
  <si>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</si>
  <si>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</si>
  <si>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</si>
  <si>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</si>
  <si>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</si>
  <si>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</si>
  <si>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</si>
  <si>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</si>
  <si>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</si>
  <si>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</si>
  <si>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</si>
  <si>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</si>
  <si>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</si>
  <si>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</si>
  <si>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</si>
  <si>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</si>
  <si>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</si>
  <si>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</si>
  <si>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</si>
  <si>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</si>
  <si>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</si>
  <si>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</si>
  <si>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</si>
  <si>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</si>
  <si>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</si>
  <si>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</si>
  <si>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</si>
  <si>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</si>
  <si>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</si>
  <si>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</si>
  <si>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</si>
  <si>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</si>
  <si>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</si>
  <si>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</si>
  <si>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</si>
  <si>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</si>
  <si>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</si>
  <si>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</si>
  <si>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</si>
  <si>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</si>
  <si>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</si>
  <si>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</si>
  <si>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</si>
  <si>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</si>
  <si>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</si>
  <si>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</si>
  <si>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</si>
  <si>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</si>
  <si>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</si>
  <si>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</si>
  <si>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</si>
  <si>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</si>
  <si>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</si>
  <si>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</si>
  <si>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</si>
  <si>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</si>
  <si>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</si>
  <si>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</si>
  <si>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</si>
  <si>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</si>
  <si>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</si>
  <si>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</si>
  <si>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</si>
  <si>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</si>
  <si>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</si>
  <si>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</si>
  <si>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</si>
  <si>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</si>
  <si>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</si>
  <si>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</si>
  <si>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</si>
  <si>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</si>
  <si>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</si>
  <si>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</si>
  <si>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</si>
  <si>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</si>
  <si>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</si>
  <si>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</si>
  <si>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</si>
  <si>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</si>
  <si>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</si>
  <si>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</si>
  <si>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</si>
  <si>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</si>
  <si>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</si>
  <si>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</si>
  <si>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</si>
  <si>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</si>
  <si>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</si>
  <si>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</si>
  <si>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</si>
  <si>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</si>
  <si>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</si>
  <si>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</si>
  <si>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</si>
  <si>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</si>
  <si>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</si>
  <si>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</si>
  <si>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</si>
  <si>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</si>
  <si>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</si>
  <si>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</si>
  <si>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</si>
  <si>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</si>
  <si>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</si>
  <si>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</si>
  <si>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</si>
  <si>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</si>
  <si>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</si>
  <si>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</si>
  <si>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</si>
  <si>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</si>
  <si>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</si>
  <si>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</si>
  <si>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</si>
  <si>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</si>
  <si>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</si>
  <si>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</si>
  <si>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</si>
  <si>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</si>
  <si>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</si>
  <si>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</si>
  <si>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</si>
  <si>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</si>
  <si>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</si>
  <si>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</si>
  <si>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</si>
  <si>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</si>
  <si>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</si>
  <si>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</si>
  <si>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</si>
  <si>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</si>
  <si>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</si>
  <si>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</si>
  <si>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</si>
  <si>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</si>
  <si>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</si>
  <si>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</si>
  <si>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</si>
  <si>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</si>
  <si>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</si>
  <si>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</si>
  <si>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</si>
  <si>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</si>
  <si>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</si>
  <si>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</si>
  <si>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</si>
  <si>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</si>
  <si>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</si>
  <si>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</si>
  <si>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</si>
  <si>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</si>
  <si>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</si>
  <si>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</si>
  <si>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</si>
  <si>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</si>
  <si>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</si>
  <si>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</si>
  <si>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</si>
  <si>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</si>
  <si>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</si>
  <si>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</si>
  <si>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</si>
  <si>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</si>
  <si>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</si>
  <si>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</si>
  <si>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</si>
  <si>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</si>
  <si>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</si>
  <si>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</si>
  <si>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</si>
  <si>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</si>
  <si>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</si>
  <si>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</si>
  <si>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</si>
  <si>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</si>
  <si>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</si>
  <si>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</si>
  <si>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</si>
  <si>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</si>
  <si>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</si>
  <si>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</si>
  <si>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</si>
  <si>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</si>
  <si>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</si>
  <si>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</si>
  <si>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</si>
  <si>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</si>
  <si>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</si>
  <si>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</si>
  <si>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</si>
  <si>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</si>
  <si>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</si>
  <si>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</si>
  <si>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</si>
  <si>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</si>
  <si>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</si>
  <si>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</si>
  <si>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</si>
  <si>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</si>
  <si>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</si>
  <si>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</si>
  <si>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</si>
  <si>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</si>
  <si>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</si>
  <si>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</si>
  <si>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</si>
  <si>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</si>
  <si>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</si>
  <si>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</si>
  <si>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</si>
  <si>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</si>
  <si>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</si>
  <si>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</si>
  <si>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</si>
  <si>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</si>
  <si>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</si>
  <si>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</si>
  <si>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</si>
  <si>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</si>
  <si>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</si>
  <si>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</si>
  <si>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</si>
  <si>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</si>
  <si>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</si>
  <si>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</si>
  <si>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</si>
  <si>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</si>
  <si>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</si>
  <si>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</si>
  <si>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</si>
  <si>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</si>
  <si>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</si>
  <si>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</si>
  <si>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</si>
  <si>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</si>
  <si>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</si>
  <si>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</si>
  <si>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</si>
  <si>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</si>
  <si>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</si>
  <si>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</si>
  <si>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</si>
  <si>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</si>
  <si>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</si>
  <si>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</si>
  <si>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</si>
  <si>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</si>
  <si>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</si>
  <si>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</si>
  <si>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</si>
  <si>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</si>
  <si>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</si>
  <si>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</si>
  <si>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</si>
  <si>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</si>
  <si>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</si>
  <si>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</si>
  <si>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</si>
  <si>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</si>
  <si>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</si>
  <si>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</si>
  <si>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</si>
  <si>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</si>
  <si>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</si>
  <si>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</si>
  <si>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</si>
  <si>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</si>
  <si>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</si>
  <si>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</si>
  <si>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</si>
  <si>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</si>
  <si>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</si>
  <si>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</si>
  <si>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</si>
  <si>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</si>
  <si>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</si>
  <si>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</si>
  <si>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</si>
  <si>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</si>
  <si>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</si>
  <si>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</si>
  <si>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</si>
  <si>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</si>
  <si>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</si>
  <si>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</si>
  <si>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</si>
  <si>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</si>
  <si>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</si>
  <si>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</si>
  <si>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</si>
  <si>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</si>
  <si>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</si>
  <si>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</si>
  <si>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</si>
  <si>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</si>
  <si>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</si>
  <si>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</si>
  <si>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</si>
  <si>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</si>
  <si>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</si>
  <si>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</si>
  <si>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</si>
  <si>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</si>
  <si>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</si>
  <si>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</si>
  <si>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</si>
  <si>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</si>
  <si>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</si>
  <si>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</si>
  <si>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</si>
  <si>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</si>
  <si>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</si>
  <si>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</si>
  <si>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</si>
  <si>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</si>
  <si>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</si>
  <si>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</si>
  <si>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</si>
  <si>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</si>
  <si>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</si>
  <si>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</si>
  <si>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</si>
  <si>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</si>
  <si>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</si>
  <si>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</si>
  <si>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</si>
  <si>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</si>
  <si>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</si>
  <si>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</si>
  <si>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</si>
  <si>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</si>
  <si>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</si>
  <si>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</si>
  <si>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</si>
  <si>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</si>
  <si>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</si>
  <si>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</si>
  <si>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</si>
  <si>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</si>
  <si>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</si>
  <si>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</si>
  <si>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</si>
  <si>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</si>
  <si>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</si>
  <si>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</si>
  <si>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</si>
  <si>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</si>
  <si>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</si>
  <si>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</si>
  <si>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</si>
  <si>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</si>
  <si>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</si>
  <si>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</si>
  <si>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</si>
  <si>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</si>
  <si>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</si>
  <si>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</si>
  <si>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</si>
  <si>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</si>
  <si>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</si>
  <si>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</si>
  <si>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</si>
  <si>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</si>
  <si>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</si>
  <si>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</si>
  <si>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</si>
  <si>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</si>
  <si>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</si>
  <si>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</si>
  <si>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</si>
  <si>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</si>
  <si>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</si>
  <si>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</si>
  <si>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</si>
  <si>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</si>
  <si>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</si>
  <si>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</si>
  <si>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</si>
  <si>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</si>
  <si>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</si>
  <si>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</si>
  <si>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</si>
  <si>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</si>
  <si>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</si>
  <si>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</si>
  <si>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</si>
  <si>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</si>
  <si>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</si>
  <si>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</si>
  <si>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</si>
  <si>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</si>
  <si>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</si>
  <si>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</si>
  <si>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</si>
  <si>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</si>
  <si>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</si>
  <si>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</si>
  <si>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</si>
  <si>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</si>
  <si>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</si>
  <si>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</si>
  <si>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</si>
  <si>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</si>
  <si>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</si>
  <si>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</si>
  <si>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</si>
  <si>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</si>
  <si>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</si>
  <si>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</si>
  <si>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</si>
  <si>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</si>
  <si>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</si>
  <si>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</si>
  <si>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</si>
  <si>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</si>
  <si>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</si>
  <si>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</si>
  <si>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</si>
  <si>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</si>
  <si>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</si>
  <si>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</si>
  <si>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</si>
  <si>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</si>
  <si>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</si>
  <si>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</si>
  <si>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</si>
  <si>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</si>
  <si>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</si>
  <si>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</si>
  <si>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</si>
  <si>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</si>
  <si>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</si>
  <si>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</si>
  <si>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</si>
  <si>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</si>
  <si>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</si>
  <si>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</si>
  <si>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</si>
  <si>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</si>
  <si>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</si>
  <si>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</si>
  <si>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</si>
  <si>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</si>
  <si>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</si>
  <si>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</si>
  <si>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</si>
  <si>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</si>
  <si>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</si>
  <si>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</si>
  <si>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</si>
  <si>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</si>
  <si>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</si>
  <si>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</si>
  <si>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</si>
  <si>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</si>
  <si>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</si>
  <si>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</si>
  <si>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</si>
  <si>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</si>
  <si>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</si>
  <si>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</si>
  <si>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</si>
  <si>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</si>
  <si>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</si>
  <si>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</si>
  <si>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</si>
  <si>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</si>
  <si>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</si>
  <si>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</si>
  <si>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</si>
  <si>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</si>
  <si>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</si>
  <si>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</si>
  <si>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</si>
  <si>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</si>
  <si>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</si>
  <si>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</si>
  <si>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</si>
  <si>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</si>
  <si>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</si>
  <si>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</si>
  <si>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</si>
  <si>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</si>
  <si>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</si>
  <si>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</si>
  <si>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</si>
  <si>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</si>
  <si>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</si>
  <si>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</si>
  <si>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</si>
  <si>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</si>
  <si>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</si>
  <si>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</si>
  <si>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</si>
  <si>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</si>
  <si>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</si>
  <si>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</si>
  <si>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</si>
  <si>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</si>
  <si>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</si>
  <si>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</si>
  <si>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</si>
  <si>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</si>
  <si>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</si>
  <si>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</si>
  <si>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</si>
  <si>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</si>
  <si>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</si>
  <si>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</si>
  <si>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</si>
  <si>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</si>
  <si>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</si>
  <si>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</si>
  <si>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</si>
  <si>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</si>
  <si>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</si>
  <si>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</si>
  <si>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</si>
  <si>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</si>
  <si>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</si>
  <si>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</si>
  <si>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</si>
  <si>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</si>
  <si>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</si>
  <si>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</si>
  <si>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</si>
  <si>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</si>
  <si>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</si>
  <si>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</si>
  <si>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</si>
  <si>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</si>
  <si>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</si>
  <si>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</si>
  <si>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</si>
  <si>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</si>
  <si>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</si>
  <si>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</si>
  <si>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</si>
  <si>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</si>
  <si>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</si>
  <si>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</si>
  <si>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</si>
  <si>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</si>
  <si>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</si>
  <si>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</si>
  <si>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</si>
  <si>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</si>
  <si>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</si>
  <si>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</si>
  <si>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</si>
  <si>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</si>
  <si>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</si>
  <si>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</si>
  <si>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</si>
  <si>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</si>
  <si>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</si>
  <si>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</si>
  <si>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</si>
  <si>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</si>
  <si>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</si>
  <si>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</si>
  <si>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</si>
  <si>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</si>
  <si>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</si>
  <si>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</si>
  <si>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</si>
  <si>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</si>
  <si>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</si>
  <si>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</si>
  <si>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</si>
  <si>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</si>
  <si>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</si>
  <si>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</si>
  <si>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</si>
  <si>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</si>
  <si>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</si>
  <si>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</si>
  <si>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</si>
  <si>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</si>
  <si>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</si>
  <si>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</si>
  <si>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</si>
  <si>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</si>
  <si>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</si>
  <si>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</si>
  <si>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</si>
  <si>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</si>
  <si>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</si>
  <si>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</si>
  <si>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</si>
  <si>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</si>
  <si>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</si>
  <si>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</si>
  <si>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</si>
  <si>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</si>
  <si>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</si>
  <si>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</si>
  <si>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</si>
  <si>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</si>
  <si>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</si>
  <si>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</si>
  <si>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</si>
  <si>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</si>
  <si>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</si>
  <si>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</si>
  <si>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</si>
  <si>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</si>
  <si>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</si>
  <si>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</si>
  <si>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</si>
  <si>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</si>
  <si>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</si>
  <si>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</si>
  <si>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</si>
  <si>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</si>
  <si>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</si>
  <si>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</si>
  <si>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</si>
  <si>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</si>
  <si>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</si>
  <si>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</si>
  <si>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</si>
  <si>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</si>
  <si>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</si>
  <si>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</si>
  <si>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</si>
  <si>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</si>
  <si>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</si>
  <si>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</si>
  <si>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</si>
  <si>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</si>
  <si>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</si>
  <si>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</si>
  <si>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</si>
  <si>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</si>
  <si>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</si>
  <si>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</si>
  <si>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</si>
  <si>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</si>
  <si>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</si>
  <si>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</si>
  <si>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</si>
  <si>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</si>
  <si>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</si>
  <si>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</si>
  <si>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</si>
  <si>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</si>
  <si>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</si>
  <si>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</si>
  <si>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</si>
  <si>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</si>
  <si>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</si>
  <si>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</si>
  <si>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</si>
  <si>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</si>
  <si>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</si>
  <si>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</si>
  <si>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</si>
  <si>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</si>
  <si>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</si>
  <si>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</si>
  <si>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</si>
  <si>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</si>
  <si>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</si>
  <si>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</si>
  <si>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</si>
  <si>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</si>
  <si>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</si>
  <si>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</si>
  <si>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</si>
  <si>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</si>
  <si>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</si>
  <si>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</si>
  <si>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</si>
  <si>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</si>
  <si>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</si>
  <si>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</si>
  <si>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</si>
  <si>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</si>
  <si>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</si>
  <si>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</si>
  <si>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</si>
  <si>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</si>
  <si>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</si>
  <si>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</si>
  <si>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</si>
  <si>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</si>
  <si>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</si>
  <si>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</si>
  <si>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</si>
  <si>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</si>
  <si>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</si>
  <si>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</si>
  <si>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</si>
  <si>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</si>
  <si>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</si>
  <si>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</si>
  <si>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</si>
  <si>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</si>
  <si>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</si>
  <si>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</si>
  <si>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</si>
  <si>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</si>
  <si>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</si>
  <si>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</si>
  <si>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</si>
  <si>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</si>
  <si>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</si>
  <si>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</si>
  <si>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</si>
  <si>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</si>
  <si>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</si>
  <si>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</si>
  <si>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</si>
  <si>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</si>
  <si>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</si>
  <si>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</si>
  <si>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</si>
  <si>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</si>
  <si>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</si>
  <si>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</si>
  <si>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</si>
  <si>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</si>
  <si>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</si>
  <si>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</si>
  <si>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</si>
  <si>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</si>
  <si>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</si>
  <si>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</si>
  <si>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</si>
  <si>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</si>
  <si>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</si>
  <si>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</si>
  <si>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</si>
  <si>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</si>
  <si>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</si>
  <si>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</si>
  <si>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</si>
  <si>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</si>
  <si>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</si>
  <si>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</si>
  <si>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</si>
  <si>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</si>
  <si>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</si>
  <si>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</si>
  <si>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</si>
  <si>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</si>
  <si>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</si>
  <si>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</si>
  <si>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</si>
  <si>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</si>
  <si>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</si>
  <si>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</si>
  <si>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</si>
  <si>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</si>
  <si>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</si>
  <si>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</si>
  <si>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</si>
  <si>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</si>
  <si>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</si>
  <si>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</si>
  <si>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</si>
  <si>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</si>
  <si>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</si>
  <si>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</si>
  <si>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</si>
  <si>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</si>
  <si>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</si>
  <si>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</si>
  <si>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</si>
  <si>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</si>
  <si>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</si>
  <si>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</si>
  <si>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</si>
  <si>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</si>
  <si>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</si>
  <si>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</si>
  <si>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</si>
  <si>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</si>
  <si>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</si>
  <si>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</si>
  <si>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</si>
  <si>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</si>
  <si>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</si>
  <si>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</si>
  <si>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</si>
  <si>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</si>
  <si>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</si>
  <si>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</si>
  <si>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</si>
  <si>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</si>
  <si>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</si>
  <si>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</si>
  <si>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</si>
  <si>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</si>
  <si>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</si>
  <si>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</si>
  <si>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</si>
  <si>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</si>
  <si>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</si>
  <si>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</si>
  <si>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</si>
  <si>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</si>
  <si>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</si>
  <si>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</si>
  <si>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</si>
  <si>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</si>
  <si>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</si>
  <si>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</si>
  <si>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</si>
  <si>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</si>
  <si>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</si>
  <si>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</si>
  <si>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</si>
  <si>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</si>
  <si>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</si>
  <si>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</si>
  <si>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</si>
  <si>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</si>
  <si>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</si>
  <si>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</si>
  <si>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</si>
  <si>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</si>
  <si>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</si>
  <si>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</si>
  <si>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</si>
  <si>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</si>
  <si>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</si>
  <si>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</si>
  <si>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</si>
  <si>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</si>
  <si>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</si>
  <si>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</si>
  <si>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</si>
  <si>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</si>
  <si>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</si>
  <si>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</si>
  <si>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</si>
  <si>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</si>
  <si>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</si>
  <si>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</si>
  <si>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</si>
  <si>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</si>
  <si>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</si>
  <si>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</si>
  <si>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</si>
  <si>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</si>
  <si>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</si>
  <si>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</si>
  <si>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</si>
  <si>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</si>
  <si>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</si>
  <si>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</si>
  <si>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</si>
  <si>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</si>
  <si>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</si>
  <si>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</si>
  <si>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</si>
  <si>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</si>
  <si>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</si>
  <si>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</si>
  <si>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</si>
  <si>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</si>
  <si>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</si>
  <si>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</si>
  <si>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</si>
  <si>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</si>
  <si>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</si>
  <si>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</si>
  <si>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</si>
  <si>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</si>
  <si>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</si>
  <si>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</si>
  <si>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</si>
  <si>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</si>
  <si>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</si>
  <si>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</si>
  <si>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</si>
  <si>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</si>
  <si>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</si>
  <si>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</si>
  <si>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</si>
  <si>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</si>
  <si>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</si>
  <si>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</si>
  <si>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</si>
  <si>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</si>
  <si>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</si>
  <si>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</si>
  <si>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</si>
  <si>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</si>
  <si>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</si>
  <si>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</si>
  <si>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</si>
  <si>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</si>
  <si>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</si>
  <si>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</si>
  <si>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</si>
  <si>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</si>
  <si>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</si>
  <si>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</si>
  <si>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</si>
  <si>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</si>
  <si>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</si>
  <si>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</si>
  <si>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</si>
  <si>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</si>
  <si>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</si>
  <si>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</si>
  <si>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</si>
  <si>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</si>
  <si>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</si>
  <si>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</si>
  <si>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</si>
  <si>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</si>
  <si>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</si>
  <si>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</si>
  <si>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</si>
  <si>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</si>
  <si>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</si>
  <si>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</si>
  <si>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</si>
  <si>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</si>
  <si>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</si>
  <si>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</si>
  <si>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</si>
  <si>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</si>
  <si>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</si>
  <si>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</si>
  <si>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</si>
  <si>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</si>
  <si>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</si>
  <si>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</si>
  <si>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</si>
  <si>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</si>
  <si>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</si>
  <si>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</si>
  <si>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</si>
  <si>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</si>
  <si>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</si>
  <si>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</si>
  <si>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</si>
  <si>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</si>
  <si>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</si>
  <si>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</si>
  <si>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</si>
  <si>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</si>
  <si>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</si>
  <si>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</si>
  <si>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</si>
  <si>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</si>
  <si>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</si>
  <si>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</si>
  <si>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</si>
  <si>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</si>
  <si>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</si>
  <si>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</si>
  <si>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</si>
  <si>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</si>
  <si>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</si>
  <si>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</si>
  <si>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</si>
  <si>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</si>
  <si>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</si>
  <si>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</si>
  <si>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</si>
  <si>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</si>
  <si>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</si>
  <si>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</si>
  <si>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</si>
  <si>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</si>
  <si>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</si>
  <si>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</si>
  <si>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</si>
  <si>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</si>
  <si>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</si>
  <si>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</si>
  <si>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</si>
  <si>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</si>
  <si>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</si>
  <si>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</si>
  <si>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</si>
  <si>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</si>
  <si>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</si>
  <si>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</si>
  <si>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</si>
  <si>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</si>
  <si>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</si>
  <si>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</si>
  <si>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</si>
  <si>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</si>
  <si>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</si>
  <si>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</si>
  <si>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</si>
  <si>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</si>
  <si>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</si>
  <si>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</si>
  <si>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</si>
  <si>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</si>
  <si>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</si>
  <si>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</si>
  <si>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</si>
  <si>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</si>
  <si>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</si>
  <si>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</si>
  <si>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</si>
  <si>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</si>
  <si>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</si>
  <si>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</si>
  <si>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</si>
  <si>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</si>
  <si>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</si>
  <si>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</si>
  <si>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</si>
  <si>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</si>
  <si>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</si>
  <si>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</si>
  <si>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</si>
  <si>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</si>
  <si>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</si>
  <si>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</si>
  <si>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</si>
  <si>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</si>
  <si>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</si>
  <si>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</si>
  <si>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</si>
  <si>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</si>
  <si>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</si>
  <si>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</si>
  <si>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</si>
  <si>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</si>
  <si>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</si>
  <si>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</si>
  <si>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</si>
  <si>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</si>
  <si>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</si>
  <si>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</si>
  <si>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</si>
  <si>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</si>
  <si>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</si>
  <si>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</si>
  <si>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</si>
  <si>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</si>
  <si>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</si>
  <si>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</si>
  <si>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</si>
  <si>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</si>
  <si>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</si>
  <si>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</si>
  <si>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</si>
  <si>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</si>
  <si>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</si>
  <si>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</si>
  <si>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</si>
  <si>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</si>
  <si>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</si>
  <si>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</si>
  <si>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</si>
  <si>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</si>
  <si>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</si>
  <si>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</si>
  <si>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</si>
  <si>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</si>
  <si>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</si>
  <si>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</si>
  <si>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</si>
  <si>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</si>
  <si>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</si>
  <si>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</si>
  <si>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</si>
  <si>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</si>
  <si>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</si>
  <si>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</si>
  <si>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</si>
  <si>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</si>
  <si>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</si>
  <si>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</si>
  <si>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</si>
  <si>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</si>
  <si>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</si>
  <si>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</si>
  <si>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</si>
  <si>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</si>
  <si>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</si>
  <si>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</si>
  <si>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</si>
  <si>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</si>
  <si>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</si>
  <si>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</si>
  <si>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</si>
  <si>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</si>
  <si>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</si>
  <si>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</si>
  <si>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</si>
  <si>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</si>
  <si>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</si>
  <si>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</si>
  <si>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</si>
  <si>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</si>
  <si>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</si>
  <si>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</si>
  <si>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</si>
  <si>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</si>
  <si>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</si>
  <si>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</si>
  <si>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</si>
  <si>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</si>
  <si>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</si>
  <si>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</si>
  <si>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</si>
  <si>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</si>
  <si>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</si>
  <si>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</si>
  <si>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</si>
  <si>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</si>
  <si>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</si>
  <si>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</si>
  <si>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</si>
  <si>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</si>
  <si>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</si>
  <si>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</si>
  <si>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</si>
  <si>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</si>
  <si>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</si>
  <si>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</si>
  <si>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</si>
  <si>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</si>
  <si>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</si>
  <si>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</si>
  <si>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</si>
  <si>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</si>
  <si>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</si>
  <si>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</si>
  <si>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</si>
  <si>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</si>
  <si>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</si>
  <si>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</si>
  <si>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</si>
  <si>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</si>
  <si>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</si>
  <si>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</si>
  <si>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</si>
  <si>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</si>
  <si>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</si>
  <si>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</si>
  <si>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</si>
  <si>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</si>
  <si>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</si>
  <si>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</si>
  <si>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</si>
  <si>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</si>
  <si>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</si>
  <si>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</si>
  <si>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</si>
  <si>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</si>
  <si>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</si>
  <si>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</si>
  <si>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</si>
  <si>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</si>
  <si>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</si>
  <si>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</si>
  <si>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</si>
  <si>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</si>
  <si>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</si>
  <si>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</si>
  <si>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</si>
  <si>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</si>
  <si>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</si>
  <si>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</si>
  <si>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</si>
  <si>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</si>
  <si>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</si>
  <si>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</si>
  <si>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</si>
  <si>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</si>
  <si>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</si>
  <si>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</si>
  <si>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</si>
  <si>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</si>
  <si>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</si>
  <si>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</si>
  <si>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</si>
  <si>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</si>
  <si>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</si>
  <si>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</si>
  <si>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</si>
  <si>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</si>
  <si>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</si>
  <si>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</si>
  <si>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</si>
  <si>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</si>
  <si>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</si>
  <si>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</si>
  <si>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</si>
  <si>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</si>
  <si>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</si>
  <si>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</si>
  <si>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</si>
  <si>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</si>
  <si>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</si>
  <si>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</si>
  <si>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</si>
  <si>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</si>
  <si>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</si>
  <si>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</si>
  <si>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</si>
  <si>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</si>
  <si>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</si>
  <si>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</si>
  <si>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</si>
  <si>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</si>
  <si>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</si>
  <si>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</si>
  <si>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</si>
  <si>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</si>
  <si>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</si>
  <si>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</si>
  <si>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</si>
  <si>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</si>
  <si>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</si>
  <si>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</si>
  <si>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</si>
  <si>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</si>
  <si>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</si>
  <si>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</si>
  <si>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</si>
  <si>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</si>
  <si>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</si>
  <si>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</si>
  <si>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</si>
  <si>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</si>
  <si>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</si>
  <si>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</si>
  <si>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</si>
  <si>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</si>
  <si>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</si>
  <si>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</si>
  <si>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</si>
  <si>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</si>
  <si>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</si>
  <si>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</si>
  <si>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</si>
  <si>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</si>
  <si>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</si>
  <si>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</si>
  <si>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</si>
  <si>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</si>
  <si>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</si>
  <si>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</si>
  <si>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</si>
  <si>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</si>
  <si>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</si>
  <si>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</si>
  <si>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</si>
  <si>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</si>
  <si>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</si>
  <si>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</si>
  <si>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</si>
  <si>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</si>
  <si>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</si>
  <si>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</si>
  <si>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</si>
  <si>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</si>
  <si>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</si>
  <si>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</si>
  <si>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</si>
  <si>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</si>
  <si>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</si>
  <si>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</si>
  <si>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</si>
  <si>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</si>
  <si>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</si>
  <si>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</si>
  <si>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</si>
  <si>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</si>
  <si>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</si>
  <si>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</si>
  <si>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</si>
  <si>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</si>
  <si>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</si>
  <si>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</si>
  <si>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</si>
  <si>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</si>
  <si>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</si>
  <si>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</si>
  <si>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</si>
  <si>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</si>
  <si>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</si>
  <si>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</si>
  <si>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</si>
  <si>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</si>
  <si>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</si>
  <si>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</si>
  <si>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</si>
  <si>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</si>
  <si>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</si>
  <si>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</si>
  <si>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</si>
  <si>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</si>
  <si>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</si>
  <si>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</si>
  <si>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</si>
  <si>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</si>
  <si>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</si>
  <si>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</si>
  <si>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</si>
  <si>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</si>
  <si>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</si>
  <si>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</si>
  <si>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</si>
  <si>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</si>
  <si>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</si>
  <si>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</si>
  <si>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</si>
  <si>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</si>
  <si>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</si>
  <si>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</si>
  <si>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</si>
  <si>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</si>
  <si>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</si>
  <si>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</si>
  <si>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</si>
  <si>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</si>
  <si>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</si>
  <si>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</si>
  <si>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</si>
  <si>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</si>
  <si>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</si>
  <si>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</si>
  <si>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</si>
  <si>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</si>
  <si>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</si>
  <si>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</si>
  <si>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</si>
  <si>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</si>
  <si>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</si>
  <si>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</si>
  <si>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</si>
  <si>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</si>
  <si>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</si>
  <si>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</si>
  <si>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</si>
  <si>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</si>
  <si>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</si>
  <si>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</si>
  <si>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</si>
  <si>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</si>
  <si>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</si>
  <si>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</si>
  <si>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</si>
  <si>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</si>
  <si>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</si>
  <si>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</si>
  <si>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</si>
  <si>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</si>
  <si>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</si>
  <si>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</si>
  <si>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</si>
  <si>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</si>
  <si>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</si>
  <si>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</si>
  <si>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</si>
  <si>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</si>
  <si>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</si>
  <si>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</si>
  <si>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</si>
  <si>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</si>
  <si>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</si>
  <si>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</si>
  <si>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</si>
  <si>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</si>
  <si>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</si>
  <si>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</si>
  <si>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</si>
  <si>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</si>
  <si>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</si>
  <si>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</si>
  <si>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</si>
  <si>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</si>
  <si>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</si>
  <si>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</si>
  <si>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</si>
  <si>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</si>
  <si>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</si>
  <si>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</si>
  <si>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</si>
  <si>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</si>
  <si>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</si>
  <si>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</si>
  <si>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</si>
  <si>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</si>
  <si>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</si>
  <si>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</si>
  <si>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</si>
  <si>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</si>
  <si>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</si>
  <si>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</si>
  <si>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</si>
  <si>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</si>
  <si>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</si>
  <si>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</si>
  <si>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</si>
  <si>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</si>
  <si>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</si>
  <si>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</si>
  <si>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</si>
  <si>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</si>
  <si>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</si>
  <si>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</si>
  <si>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</si>
  <si>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</si>
  <si>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</si>
  <si>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</si>
  <si>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</si>
  <si>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</si>
  <si>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</si>
  <si>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</si>
  <si>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</si>
  <si>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</si>
  <si>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</si>
  <si>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</si>
  <si>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</si>
  <si>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</si>
  <si>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</si>
  <si>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</si>
  <si>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</si>
  <si>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</si>
  <si>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</si>
  <si>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</si>
  <si>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</si>
  <si>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</si>
  <si>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</si>
  <si>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</si>
  <si>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</si>
  <si>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</si>
  <si>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</si>
  <si>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</si>
  <si>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</si>
  <si>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</si>
  <si>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</si>
  <si>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</si>
  <si>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</si>
  <si>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</si>
  <si>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</si>
  <si>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</si>
  <si>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</si>
  <si>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</si>
  <si>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</si>
  <si>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</si>
  <si>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</si>
  <si>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</si>
  <si>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</si>
  <si>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</si>
  <si>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</si>
  <si>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</si>
  <si>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</si>
  <si>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</si>
  <si>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</si>
  <si>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</si>
  <si>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</si>
  <si>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</si>
  <si>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</si>
  <si>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</si>
  <si>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</si>
  <si>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</si>
  <si>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</si>
  <si>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</si>
  <si>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</si>
  <si>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</si>
  <si>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</si>
  <si>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</si>
  <si>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</si>
  <si>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</si>
  <si>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</si>
  <si>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</si>
  <si>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</si>
  <si>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</si>
  <si>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</si>
  <si>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</si>
  <si>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</si>
  <si>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</si>
  <si>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</si>
  <si>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</si>
  <si>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</si>
  <si>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</si>
  <si>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</si>
  <si>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</si>
  <si>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</si>
  <si>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</si>
  <si>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</si>
  <si>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</si>
  <si>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</si>
  <si>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</si>
  <si>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</si>
  <si>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</si>
  <si>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</si>
  <si>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</si>
  <si>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</si>
  <si>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</si>
  <si>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</si>
  <si>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</si>
  <si>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</si>
  <si>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</si>
  <si>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</si>
  <si>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</si>
  <si>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</si>
  <si>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</si>
  <si>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</si>
  <si>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</si>
  <si>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</si>
  <si>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</si>
  <si>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</si>
  <si>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</si>
  <si>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</si>
  <si>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</si>
  <si>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</si>
  <si>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</si>
  <si>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</si>
  <si>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</si>
  <si>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</si>
  <si>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</si>
  <si>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</si>
  <si>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</si>
  <si>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</si>
  <si>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</si>
  <si>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</si>
  <si>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</si>
  <si>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</si>
  <si>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</si>
  <si>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</si>
  <si>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</si>
  <si>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</si>
  <si>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</si>
  <si>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</si>
  <si>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</si>
  <si>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</si>
  <si>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</si>
  <si>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</si>
  <si>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</si>
  <si>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</si>
  <si>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</si>
  <si>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</si>
  <si>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</si>
  <si>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</si>
  <si>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</si>
  <si>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</si>
  <si>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</si>
  <si>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</si>
  <si>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</si>
  <si>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</si>
  <si>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</si>
  <si>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</si>
  <si>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</si>
  <si>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</si>
  <si>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</si>
  <si>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</si>
  <si>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</si>
  <si>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</si>
  <si>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</si>
  <si>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</si>
  <si>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</si>
  <si>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</si>
  <si>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</si>
  <si>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</si>
  <si>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</si>
  <si>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</si>
  <si>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</si>
  <si>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</si>
  <si>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</si>
  <si>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</si>
  <si>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</si>
  <si>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</si>
  <si>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</si>
  <si>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</si>
  <si>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</si>
  <si>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</si>
  <si>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</si>
  <si>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</si>
  <si>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</si>
  <si>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</si>
  <si>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</si>
  <si>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</si>
  <si>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</si>
  <si>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</si>
  <si>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</si>
  <si>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</si>
  <si>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</si>
  <si>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</si>
  <si>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</si>
  <si>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</si>
  <si>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</si>
  <si>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</si>
  <si>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</si>
  <si>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</si>
  <si>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</si>
  <si>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</si>
  <si>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</si>
  <si>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</si>
  <si>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</si>
  <si>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</si>
  <si>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</si>
  <si>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</si>
  <si>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</si>
  <si>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</si>
  <si>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</si>
  <si>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</si>
  <si>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</si>
  <si>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</si>
  <si>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</si>
  <si>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</si>
  <si>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</si>
  <si>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</si>
  <si>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</si>
  <si>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</si>
  <si>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</si>
  <si>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</si>
  <si>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</si>
  <si>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</si>
  <si>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</si>
  <si>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</si>
  <si>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</si>
  <si>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</si>
  <si>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</si>
  <si>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</si>
  <si>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</si>
  <si>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</si>
  <si>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</si>
  <si>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</si>
  <si>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</si>
  <si>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</si>
  <si>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</si>
  <si>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</si>
  <si>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</si>
  <si>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</si>
  <si>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</si>
  <si>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</si>
  <si>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</si>
  <si>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</si>
  <si>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</si>
  <si>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</si>
  <si>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</si>
  <si>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</si>
  <si>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</si>
  <si>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</si>
  <si>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</si>
  <si>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</si>
  <si>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</si>
  <si>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</si>
  <si>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</si>
  <si>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</si>
  <si>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</si>
  <si>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</si>
  <si>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</si>
  <si>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</si>
  <si>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</si>
  <si>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</si>
  <si>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</si>
  <si>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</si>
  <si>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</si>
  <si>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</si>
  <si>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</si>
  <si>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</si>
  <si>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</si>
  <si>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</si>
  <si>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</si>
  <si>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</si>
  <si>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</si>
  <si>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</si>
  <si>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</si>
  <si>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</si>
  <si>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</si>
  <si>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</si>
  <si>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</si>
  <si>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</si>
  <si>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</si>
  <si>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</si>
  <si>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</si>
  <si>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</si>
  <si>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</si>
  <si>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</si>
  <si>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</si>
  <si>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</si>
  <si>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</si>
  <si>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</si>
  <si>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</si>
  <si>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</si>
  <si>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</si>
  <si>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</si>
  <si>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</si>
  <si>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</si>
  <si>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</si>
  <si>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</si>
  <si>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</si>
  <si>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</si>
  <si>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</si>
  <si>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</si>
  <si>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</si>
  <si>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</si>
  <si>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</si>
  <si>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</si>
  <si>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</si>
  <si>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</si>
  <si>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</si>
  <si>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</si>
  <si>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</si>
  <si>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</si>
  <si>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</si>
  <si>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</si>
  <si>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</si>
  <si>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</si>
  <si>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</si>
  <si>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</si>
  <si>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</si>
  <si>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</si>
  <si>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</si>
  <si>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</si>
  <si>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</si>
  <si>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</si>
  <si>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</si>
  <si>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</si>
  <si>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</si>
  <si>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</si>
  <si>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</si>
  <si>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</si>
  <si>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</si>
  <si>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</si>
  <si>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</si>
  <si>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</si>
  <si>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</si>
  <si>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</si>
  <si>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</si>
  <si>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</si>
  <si>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</si>
  <si>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</si>
  <si>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</si>
  <si>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</si>
  <si>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</si>
  <si>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</si>
  <si>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</si>
  <si>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</si>
  <si>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</si>
  <si>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</si>
  <si>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</si>
  <si>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</si>
  <si>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</si>
  <si>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</si>
  <si>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</si>
  <si>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</si>
  <si>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</si>
  <si>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</si>
  <si>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</si>
  <si>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</si>
  <si>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</si>
  <si>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</si>
  <si>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</si>
  <si>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</si>
  <si>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</si>
  <si>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</si>
  <si>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</si>
  <si>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</si>
  <si>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</si>
  <si>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</si>
  <si>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</si>
  <si>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</si>
  <si>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</si>
  <si>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</si>
  <si>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</si>
  <si>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</si>
  <si>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</si>
  <si>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</si>
  <si>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</si>
  <si>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</si>
  <si>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</si>
  <si>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</si>
  <si>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</si>
  <si>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</si>
  <si>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</si>
  <si>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</si>
  <si>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</si>
  <si>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</si>
  <si>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</si>
  <si>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</si>
  <si>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</si>
  <si>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</si>
  <si>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</si>
  <si>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</si>
  <si>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</si>
  <si>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</si>
  <si>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</si>
  <si>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</si>
  <si>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</si>
  <si>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</si>
  <si>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</si>
  <si>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</si>
  <si>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</si>
  <si>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</si>
  <si>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</si>
  <si>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</si>
  <si>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</si>
  <si>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</si>
  <si>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</si>
  <si>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</si>
  <si>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</si>
  <si>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</si>
  <si>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</si>
  <si>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</si>
  <si>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</si>
  <si>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</si>
  <si>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</si>
  <si>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</si>
  <si>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</si>
  <si>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</si>
  <si>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</si>
  <si>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</si>
  <si>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</si>
  <si>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</si>
  <si>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</si>
  <si>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</si>
  <si>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</si>
  <si>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</si>
  <si>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</si>
  <si>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</si>
  <si>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</si>
  <si>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</si>
  <si>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</si>
  <si>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</si>
  <si>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</si>
  <si>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</si>
  <si>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</si>
  <si>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</si>
  <si>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</si>
  <si>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</si>
  <si>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</si>
  <si>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</si>
  <si>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</si>
  <si>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</si>
  <si>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</si>
  <si>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</si>
  <si>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</si>
  <si>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</si>
  <si>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</si>
  <si>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</si>
  <si>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</si>
  <si>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</si>
  <si>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</si>
  <si>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</si>
  <si>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</si>
  <si>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</si>
  <si>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</si>
  <si>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</si>
  <si>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</si>
  <si>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</si>
  <si>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</si>
  <si>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</si>
  <si>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</si>
  <si>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</si>
  <si>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</si>
  <si>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</si>
  <si>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</si>
  <si>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</si>
  <si>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</si>
  <si>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</si>
  <si>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</si>
  <si>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</si>
  <si>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</si>
  <si>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</si>
  <si>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</si>
  <si>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</si>
  <si>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</si>
  <si>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</si>
  <si>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</si>
  <si>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</si>
  <si>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</si>
  <si>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</si>
  <si>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</si>
  <si>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</si>
  <si>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</si>
  <si>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</si>
  <si>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</si>
  <si>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</si>
  <si>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</si>
  <si>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</si>
  <si>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</si>
  <si>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</si>
  <si>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</si>
  <si>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</si>
  <si>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</si>
  <si>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</si>
  <si>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</si>
  <si>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</si>
  <si>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</si>
  <si>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</si>
  <si>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</si>
  <si>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</si>
  <si>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</si>
  <si>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</si>
  <si>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</si>
  <si>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</si>
  <si>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</si>
  <si>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</si>
  <si>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</si>
  <si>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</si>
  <si>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</si>
  <si>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</si>
  <si>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</si>
  <si>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</si>
  <si>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</si>
  <si>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</si>
  <si>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</si>
  <si>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</si>
  <si>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</si>
  <si>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</si>
  <si>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</si>
  <si>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</si>
  <si>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</si>
  <si>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</si>
  <si>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</si>
  <si>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</si>
  <si>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</si>
  <si>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</si>
  <si>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</si>
  <si>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</si>
  <si>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</si>
  <si>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</si>
  <si>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</si>
  <si>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</si>
  <si>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</si>
  <si>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</si>
  <si>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</si>
  <si>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</si>
  <si>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</si>
  <si>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</si>
  <si>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</si>
  <si>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</si>
  <si>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</si>
  <si>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</si>
  <si>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</si>
  <si>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</si>
  <si>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</si>
  <si>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</si>
  <si>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</si>
  <si>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</si>
  <si>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</si>
  <si>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</si>
  <si>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</si>
  <si>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</si>
  <si>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</si>
  <si>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</si>
  <si>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</si>
  <si>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</si>
  <si>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</si>
  <si>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</si>
  <si>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</si>
  <si>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</si>
  <si>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</si>
  <si>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</si>
  <si>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</si>
  <si>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</si>
  <si>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</si>
  <si>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</si>
  <si>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</si>
  <si>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</si>
  <si>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</si>
  <si>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</si>
  <si>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</si>
  <si>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</si>
  <si>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</si>
  <si>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</si>
  <si>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</si>
  <si>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</si>
  <si>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</si>
  <si>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</si>
  <si>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</si>
  <si>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</si>
  <si>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</si>
  <si>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</si>
  <si>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</si>
  <si>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</si>
  <si>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</si>
  <si>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</si>
  <si>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</si>
  <si>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</si>
  <si>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</si>
  <si>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</si>
  <si>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</si>
  <si>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</si>
  <si>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</si>
  <si>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</si>
  <si>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</si>
  <si>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</si>
  <si>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</si>
  <si>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</si>
  <si>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</si>
  <si>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</si>
  <si>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</si>
  <si>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</si>
  <si>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</si>
  <si>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</si>
  <si>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</si>
  <si>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</si>
  <si>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</si>
  <si>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</si>
  <si>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</si>
  <si>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</si>
  <si>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</si>
  <si>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</si>
  <si>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</si>
  <si>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</si>
  <si>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</si>
  <si>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</si>
  <si>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</si>
  <si>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</si>
  <si>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</si>
  <si>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</si>
  <si>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</si>
  <si>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</si>
  <si>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</si>
  <si>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</si>
  <si>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</si>
  <si>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</si>
  <si>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</si>
  <si>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</si>
  <si>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</si>
  <si>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</si>
  <si>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</si>
  <si>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</si>
  <si>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</si>
  <si>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</si>
  <si>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</si>
  <si>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</si>
  <si>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</si>
  <si>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</si>
  <si>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</si>
  <si>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</si>
  <si>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</si>
  <si>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</si>
  <si>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</si>
  <si>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</si>
  <si>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</si>
  <si>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</si>
  <si>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</si>
  <si>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</si>
  <si>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</si>
  <si>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</si>
  <si>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</si>
  <si>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</si>
  <si>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</si>
  <si>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</si>
  <si>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</si>
  <si>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</si>
  <si>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</si>
  <si>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</si>
  <si>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</si>
  <si>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</si>
  <si>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</si>
  <si>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</si>
  <si>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</si>
  <si>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</si>
  <si>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</si>
  <si>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</si>
  <si>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</si>
  <si>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</si>
  <si>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</si>
  <si>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</si>
  <si>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</si>
  <si>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</si>
  <si>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</si>
  <si>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</si>
  <si>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</si>
  <si>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</si>
  <si>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</si>
  <si>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</si>
  <si>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</si>
  <si>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</si>
  <si>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</si>
  <si>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</si>
  <si>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</si>
  <si>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</si>
  <si>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</si>
  <si>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</si>
  <si>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</si>
  <si>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</si>
  <si>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</si>
  <si>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</si>
  <si>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</si>
  <si>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</si>
  <si>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</si>
  <si>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</si>
  <si>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</si>
  <si>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</si>
  <si>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</si>
  <si>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</si>
  <si>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</si>
  <si>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</si>
  <si>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</si>
  <si>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</si>
  <si>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</si>
  <si>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</si>
  <si>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</si>
  <si>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</si>
  <si>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</si>
  <si>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</si>
  <si>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</si>
  <si>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</si>
  <si>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</si>
  <si>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</si>
  <si>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</si>
  <si>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</si>
  <si>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</si>
  <si>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</si>
  <si>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</si>
  <si>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</si>
  <si>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</si>
  <si>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</si>
  <si>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</si>
  <si>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</si>
  <si>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</si>
  <si>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</si>
  <si>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</si>
  <si>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</si>
  <si>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</si>
  <si>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</si>
  <si>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</si>
  <si>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</si>
  <si>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</si>
  <si>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</si>
  <si>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</si>
  <si>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</si>
  <si>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</si>
  <si>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</si>
  <si>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</si>
  <si>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</si>
  <si>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</si>
  <si>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</si>
  <si>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</si>
  <si>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</si>
  <si>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</si>
  <si>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</si>
  <si>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</si>
  <si>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</si>
  <si>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</si>
  <si>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</si>
  <si>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</si>
  <si>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</si>
  <si>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</si>
  <si>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</si>
  <si>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</si>
  <si>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</si>
  <si>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</si>
  <si>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</si>
  <si>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</si>
  <si>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</si>
  <si>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</si>
  <si>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</si>
  <si>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</si>
  <si>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</si>
  <si>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</si>
  <si>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</si>
  <si>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</si>
  <si>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</si>
  <si>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</si>
  <si>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</si>
  <si>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</si>
  <si>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</si>
  <si>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</si>
  <si>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</si>
  <si>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</si>
  <si>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</si>
  <si>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</si>
  <si>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</si>
  <si>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</si>
  <si>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</si>
  <si>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</si>
  <si>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</si>
  <si>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</si>
  <si>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</si>
  <si>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</si>
  <si>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</si>
  <si>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</si>
  <si>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</si>
  <si>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</si>
  <si>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</si>
  <si>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</si>
  <si>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</si>
  <si>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</si>
  <si>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</si>
  <si>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</si>
  <si>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</si>
  <si>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</si>
  <si>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</si>
  <si>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</si>
  <si>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</si>
  <si>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</si>
  <si>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</si>
  <si>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</si>
  <si>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</si>
  <si>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</si>
  <si>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</si>
  <si>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</si>
  <si>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</si>
  <si>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</si>
  <si>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</si>
  <si>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</si>
  <si>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</si>
  <si>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</si>
  <si>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</si>
  <si>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</si>
  <si>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</si>
  <si>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</si>
  <si>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</si>
  <si>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</si>
  <si>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</si>
  <si>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</si>
  <si>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</si>
  <si>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</si>
  <si>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</si>
  <si>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</si>
  <si>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</si>
  <si>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</si>
  <si>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</si>
  <si>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</si>
  <si>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</si>
  <si>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</si>
  <si>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</si>
  <si>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</si>
  <si>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</si>
  <si>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</si>
  <si>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</si>
  <si>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</si>
  <si>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</si>
  <si>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</si>
  <si>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</si>
  <si>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</si>
  <si>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</si>
  <si>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</si>
  <si>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</si>
  <si>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</si>
  <si>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</si>
  <si>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</si>
  <si>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</si>
  <si>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</si>
  <si>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</si>
  <si>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</si>
  <si>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</si>
  <si>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</si>
  <si>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</si>
  <si>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</si>
  <si>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</si>
  <si>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</si>
  <si>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</si>
  <si>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</si>
  <si>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</si>
  <si>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</si>
  <si>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</si>
  <si>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</si>
  <si>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</si>
  <si>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</si>
  <si>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</si>
  <si>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</si>
  <si>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</si>
  <si>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</si>
  <si>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</si>
  <si>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</si>
  <si>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</si>
  <si>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</si>
  <si>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</si>
  <si>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</si>
  <si>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</si>
  <si>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</si>
  <si>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</si>
  <si>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</si>
  <si>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</si>
  <si>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</si>
  <si>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</si>
  <si>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</si>
  <si>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</si>
  <si>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</si>
  <si>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</si>
  <si>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</si>
  <si>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</si>
  <si>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</si>
  <si>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</si>
  <si>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</si>
  <si>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</si>
  <si>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</si>
  <si>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</si>
  <si>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</si>
  <si>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</si>
  <si>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</si>
  <si>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</si>
  <si>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</si>
  <si>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</si>
  <si>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</si>
  <si>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</si>
  <si>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</si>
  <si>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</si>
  <si>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</si>
  <si>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</si>
  <si>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</si>
  <si>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</si>
  <si>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</si>
  <si>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</si>
  <si>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</si>
  <si>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</si>
  <si>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</si>
  <si>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</si>
  <si>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</si>
  <si>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</si>
  <si>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</si>
  <si>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</si>
  <si>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</si>
  <si>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</si>
  <si>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</si>
  <si>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</si>
  <si>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</si>
  <si>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</si>
  <si>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</si>
  <si>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</si>
  <si>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</si>
  <si>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</si>
  <si>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</si>
  <si>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</si>
  <si>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</si>
  <si>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</si>
  <si>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</si>
  <si>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</si>
  <si>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</si>
  <si>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</si>
  <si>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</si>
  <si>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</si>
  <si>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</si>
  <si>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</si>
  <si>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</si>
  <si>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</si>
  <si>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</si>
  <si>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</si>
  <si>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</si>
  <si>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</si>
  <si>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</si>
  <si>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</si>
  <si>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</si>
  <si>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</si>
  <si>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</si>
  <si>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</si>
  <si>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</si>
  <si>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</si>
  <si>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</si>
  <si>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</si>
  <si>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</si>
  <si>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</si>
  <si>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</si>
  <si>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</si>
  <si>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</si>
  <si>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</si>
  <si>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</si>
  <si>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</si>
  <si>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</si>
  <si>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</si>
  <si>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</si>
  <si>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</si>
  <si>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</si>
  <si>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</si>
  <si>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</si>
  <si>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</si>
  <si>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</si>
  <si>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</si>
  <si>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</si>
  <si>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</si>
  <si>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</si>
  <si>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</si>
  <si>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</si>
  <si>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</si>
  <si>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</si>
  <si>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</si>
  <si>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</si>
  <si>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</si>
  <si>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</si>
  <si>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</si>
  <si>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</si>
  <si>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</si>
  <si>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</si>
  <si>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</si>
  <si>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</si>
  <si>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</si>
  <si>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</si>
  <si>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</si>
  <si>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</si>
  <si>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</si>
  <si>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</si>
  <si>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</si>
  <si>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</si>
  <si>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</si>
  <si>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</si>
  <si>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</si>
  <si>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</si>
  <si>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</si>
  <si>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</si>
  <si>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</si>
  <si>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</si>
  <si>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</si>
  <si>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</si>
  <si>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</si>
  <si>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</si>
  <si>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</si>
  <si>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</si>
  <si>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</si>
  <si>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</si>
  <si>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</si>
  <si>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</si>
  <si>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</si>
  <si>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</si>
  <si>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</si>
  <si>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</si>
  <si>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</si>
  <si>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</si>
  <si>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</si>
  <si>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</si>
  <si>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</si>
  <si>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</si>
  <si>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</si>
  <si>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</si>
  <si>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</si>
  <si>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</si>
  <si>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</si>
  <si>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</si>
  <si>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</si>
  <si>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</si>
  <si>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</si>
  <si>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</si>
  <si>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</si>
  <si>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</si>
  <si>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</si>
  <si>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</si>
  <si>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</si>
  <si>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</si>
  <si>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</si>
  <si>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</si>
  <si>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</si>
  <si>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</si>
  <si>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</si>
  <si>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</si>
  <si>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</si>
  <si>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</si>
  <si>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</si>
  <si>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</si>
  <si>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</si>
  <si>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</si>
  <si>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</si>
  <si>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</si>
  <si>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</si>
  <si>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</si>
  <si>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</si>
  <si>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</si>
  <si>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</si>
  <si>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</si>
  <si>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</si>
  <si>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</si>
  <si>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</si>
  <si>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</si>
  <si>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</si>
  <si>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</si>
  <si>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</si>
  <si>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</si>
  <si>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</si>
  <si>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</si>
  <si>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</si>
  <si>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</si>
  <si>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</si>
  <si>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</si>
  <si>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</si>
  <si>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</si>
  <si>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</si>
  <si>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</si>
  <si>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</si>
  <si>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</si>
  <si>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</si>
  <si>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</si>
  <si>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</si>
  <si>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</si>
  <si>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</si>
  <si>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</si>
  <si>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</si>
  <si>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</si>
  <si>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</si>
  <si>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</si>
  <si>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</si>
  <si>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</si>
  <si>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</si>
  <si>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</si>
  <si>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</si>
  <si>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</si>
  <si>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</si>
  <si>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</si>
  <si>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</si>
  <si>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</si>
  <si>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</si>
  <si>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</si>
  <si>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</si>
  <si>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</si>
  <si>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</si>
  <si>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</si>
  <si>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</si>
  <si>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</si>
  <si>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</si>
  <si>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</si>
  <si>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</si>
  <si>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</si>
  <si>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</si>
  <si>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</si>
  <si>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</si>
  <si>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</si>
  <si>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</si>
  <si>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</si>
  <si>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</si>
  <si>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</si>
  <si>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</si>
  <si>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</si>
  <si>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</si>
  <si>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</si>
  <si>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</si>
  <si>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</si>
  <si>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</si>
  <si>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</si>
  <si>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</si>
  <si>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</si>
  <si>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</si>
  <si>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</si>
  <si>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</si>
  <si>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</si>
  <si>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</si>
  <si>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</si>
  <si>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</si>
  <si>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</si>
  <si>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</si>
  <si>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</si>
  <si>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</si>
  <si>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</si>
  <si>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</si>
  <si>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</si>
  <si>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</si>
  <si>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</si>
  <si>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</si>
  <si>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</si>
  <si>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</si>
  <si>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</si>
  <si>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</si>
  <si>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</si>
  <si>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</si>
  <si>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</si>
  <si>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</si>
  <si>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</si>
  <si>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</si>
  <si>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</si>
  <si>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</si>
  <si>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</si>
  <si>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</si>
  <si>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</si>
  <si>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</si>
  <si>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</si>
  <si>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</si>
  <si>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</si>
  <si>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</si>
  <si>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</si>
  <si>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</si>
  <si>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</si>
  <si>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</si>
  <si>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</si>
  <si>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</si>
  <si>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</si>
  <si>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</si>
  <si>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</si>
  <si>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</si>
  <si>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</si>
  <si>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</si>
  <si>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</si>
  <si>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</si>
  <si>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</si>
  <si>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</si>
  <si>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</si>
  <si>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</si>
  <si>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</si>
  <si>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</si>
  <si>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</si>
  <si>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</si>
  <si>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</si>
  <si>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</si>
  <si>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</si>
  <si>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</si>
  <si>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</si>
  <si>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</si>
  <si>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</si>
  <si>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</si>
  <si>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</si>
  <si>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</si>
  <si>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</si>
  <si>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</si>
  <si>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</si>
  <si>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</si>
  <si>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</si>
  <si>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</si>
  <si>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</si>
  <si>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</si>
  <si>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</si>
  <si>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</si>
  <si>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</si>
  <si>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</si>
  <si>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</si>
  <si>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</si>
  <si>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</si>
  <si>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</si>
  <si>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</si>
  <si>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</si>
  <si>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</si>
  <si>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</si>
  <si>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</si>
  <si>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</si>
  <si>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</si>
  <si>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</si>
  <si>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</si>
  <si>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</si>
  <si>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</si>
  <si>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</si>
  <si>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</si>
  <si>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</si>
  <si>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</si>
  <si>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</si>
  <si>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</si>
  <si>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</si>
  <si>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</si>
  <si>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</si>
  <si>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</si>
  <si>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</si>
  <si>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</si>
  <si>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</si>
  <si>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</si>
  <si>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</si>
  <si>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</si>
  <si>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</si>
  <si>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</si>
  <si>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</si>
  <si>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</si>
  <si>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</si>
  <si>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</si>
  <si>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</si>
  <si>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</si>
  <si>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</si>
  <si>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</si>
  <si>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</si>
  <si>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</si>
  <si>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</si>
  <si>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</si>
  <si>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</si>
  <si>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</si>
  <si>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</si>
  <si>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</si>
  <si>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</si>
  <si>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</si>
  <si>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</si>
  <si>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</si>
  <si>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</si>
  <si>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</si>
  <si>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</si>
  <si>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</si>
  <si>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</si>
  <si>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</si>
  <si>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</si>
  <si>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</si>
  <si>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</si>
  <si>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</si>
  <si>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</si>
  <si>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</si>
  <si>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</si>
  <si>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</si>
  <si>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</si>
  <si>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</si>
  <si>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</si>
  <si>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</si>
  <si>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</si>
  <si>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</si>
  <si>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</si>
  <si>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</si>
  <si>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</si>
  <si>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</si>
  <si>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</si>
  <si>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</si>
  <si>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</si>
  <si>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</si>
  <si>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</si>
  <si>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</si>
  <si>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</si>
  <si>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</si>
  <si>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</si>
  <si>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</si>
  <si>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</si>
  <si>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</si>
  <si>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</si>
  <si>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</si>
  <si>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</si>
  <si>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</si>
  <si>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</si>
  <si>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</si>
  <si>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</si>
  <si>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</si>
  <si>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</si>
  <si>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</si>
  <si>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</si>
  <si>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</si>
  <si>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</si>
  <si>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</si>
  <si>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</si>
  <si>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</si>
  <si>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</si>
  <si>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</si>
  <si>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</si>
  <si>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</si>
  <si>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</si>
  <si>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</si>
  <si>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</si>
  <si>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</si>
  <si>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</si>
  <si>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</si>
  <si>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</si>
  <si>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</si>
  <si>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</si>
  <si>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</si>
  <si>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</si>
  <si>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</si>
  <si>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</si>
  <si>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</si>
  <si>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</si>
  <si>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</si>
  <si>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</si>
  <si>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</si>
  <si>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</si>
  <si>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</si>
  <si>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</si>
  <si>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</si>
  <si>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</si>
  <si>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</si>
  <si>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</si>
  <si>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</si>
  <si>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</si>
  <si>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</si>
  <si>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</si>
  <si>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</si>
  <si>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</si>
  <si>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</si>
  <si>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</si>
  <si>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</si>
  <si>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</si>
  <si>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</si>
  <si>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</si>
  <si>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</si>
  <si>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</si>
  <si>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</si>
  <si>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</si>
  <si>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</si>
  <si>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</si>
  <si>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</si>
  <si>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</si>
  <si>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</si>
  <si>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</si>
  <si>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</si>
  <si>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</si>
  <si>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</si>
  <si>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</si>
  <si>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</si>
  <si>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</si>
  <si>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</si>
  <si>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</si>
  <si>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</si>
  <si>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</si>
  <si>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</si>
  <si>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</si>
  <si>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</si>
  <si>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</si>
  <si>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</si>
  <si>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</si>
  <si>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</si>
  <si>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</si>
  <si>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</si>
  <si>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</si>
  <si>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</si>
  <si>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</si>
  <si>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</si>
  <si>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</si>
  <si>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</si>
  <si>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</si>
  <si>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</si>
  <si>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</si>
  <si>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</si>
  <si>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</si>
  <si>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</si>
  <si>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</si>
  <si>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</si>
  <si>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</si>
  <si>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</si>
  <si>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</si>
  <si>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</si>
  <si>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</si>
  <si>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</si>
  <si>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</si>
  <si>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</si>
  <si>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</si>
  <si>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</si>
  <si>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</si>
  <si>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</si>
  <si>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</si>
  <si>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</si>
  <si>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</si>
  <si>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</si>
  <si>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</si>
  <si>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</si>
  <si>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</si>
  <si>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</si>
  <si>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</si>
  <si>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</si>
  <si>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</si>
  <si>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</si>
  <si>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</si>
  <si>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</si>
  <si>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</si>
  <si>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</si>
  <si>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</si>
  <si>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</si>
  <si>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</si>
  <si>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</si>
  <si>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</si>
  <si>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</si>
  <si>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</si>
  <si>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</si>
  <si>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</si>
  <si>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</si>
  <si>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</si>
  <si>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</si>
  <si>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</si>
  <si>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</si>
  <si>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</si>
  <si>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</si>
  <si>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</si>
  <si>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</si>
  <si>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</si>
  <si>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</si>
  <si>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</si>
  <si>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</si>
  <si>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</si>
  <si>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</si>
  <si>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</si>
  <si>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</si>
  <si>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</si>
  <si>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</si>
  <si>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</si>
  <si>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</si>
  <si>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</si>
  <si>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</si>
  <si>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</si>
  <si>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</si>
  <si>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</si>
  <si>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</si>
  <si>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</si>
  <si>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</si>
  <si>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</si>
  <si>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</si>
  <si>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</si>
  <si>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</si>
  <si>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</si>
  <si>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</si>
  <si>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</si>
  <si>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</si>
  <si>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</si>
  <si>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</si>
  <si>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</si>
  <si>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</si>
  <si>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</si>
  <si>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</si>
  <si>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</si>
  <si>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</si>
  <si>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</si>
  <si>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</si>
  <si>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</si>
  <si>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</si>
  <si>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</si>
  <si>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</si>
  <si>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</si>
  <si>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</si>
  <si>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</si>
  <si>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</si>
  <si>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</si>
  <si>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</si>
  <si>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</si>
  <si>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</si>
  <si>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</si>
  <si>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</si>
  <si>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</si>
  <si>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</si>
  <si>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</si>
  <si>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</si>
  <si>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</si>
  <si>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</si>
  <si>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</si>
  <si>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</si>
  <si>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</si>
  <si>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</si>
  <si>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</si>
  <si>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</si>
  <si>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</si>
  <si>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</si>
  <si>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</si>
  <si>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</si>
  <si>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</si>
  <si>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</si>
  <si>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</si>
  <si>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</si>
  <si>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</si>
  <si>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</si>
  <si>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</si>
  <si>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</si>
  <si>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</si>
  <si>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</si>
  <si>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</si>
  <si>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</si>
  <si>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</si>
  <si>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</si>
  <si>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</si>
  <si>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</si>
  <si>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</si>
  <si>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</si>
  <si>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</si>
  <si>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</si>
  <si>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</si>
  <si>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</si>
  <si>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</si>
  <si>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</si>
  <si>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</si>
  <si>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</si>
  <si>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</si>
  <si>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</si>
  <si>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</si>
  <si>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</si>
  <si>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</si>
  <si>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</si>
  <si>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</si>
  <si>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</si>
  <si>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</si>
  <si>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</si>
  <si>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</si>
  <si>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</si>
  <si>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</si>
  <si>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</si>
  <si>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</si>
  <si>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</si>
  <si>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</si>
  <si>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</si>
  <si>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</si>
  <si>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</si>
  <si>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</si>
  <si>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</si>
  <si>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</si>
  <si>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</si>
  <si>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</si>
  <si>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</si>
  <si>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</si>
  <si>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</si>
  <si>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</si>
  <si>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</si>
  <si>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</si>
  <si>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</si>
  <si>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</si>
  <si>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</si>
  <si>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</si>
  <si>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</si>
  <si>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</si>
  <si>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</si>
  <si>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</si>
  <si>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</si>
  <si>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</si>
  <si>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</si>
  <si>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</si>
  <si>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</si>
  <si>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</si>
  <si>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</si>
  <si>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</si>
  <si>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</si>
  <si>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</si>
  <si>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</si>
  <si>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</si>
  <si>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</si>
  <si>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</si>
  <si>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</si>
  <si>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</si>
  <si>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</si>
  <si>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</si>
  <si>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</si>
  <si>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</si>
  <si>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</si>
  <si>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</si>
  <si>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</si>
  <si>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</si>
  <si>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</si>
  <si>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</si>
  <si>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</si>
  <si>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</si>
  <si>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</si>
  <si>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</si>
  <si>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</si>
  <si>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</si>
  <si>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</si>
  <si>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</si>
  <si>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</si>
  <si>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</si>
  <si>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</si>
  <si>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</si>
  <si>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</si>
  <si>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</si>
  <si>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</si>
  <si>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</si>
  <si>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</si>
  <si>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</si>
  <si>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</si>
  <si>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</si>
  <si>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</si>
  <si>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</si>
  <si>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</si>
  <si>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</si>
  <si>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</si>
  <si>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</si>
  <si>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</si>
  <si>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</si>
  <si>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</si>
  <si>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</si>
  <si>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</si>
  <si>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</si>
  <si>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</si>
  <si>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</si>
  <si>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</si>
  <si>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</si>
  <si>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</si>
  <si>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</si>
  <si>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</si>
  <si>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</si>
  <si>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</si>
  <si>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</si>
  <si>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</si>
  <si>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</si>
  <si>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</si>
  <si>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</si>
  <si>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</si>
  <si>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</si>
  <si>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</si>
  <si>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</si>
  <si>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</si>
  <si>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</si>
  <si>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</si>
  <si>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</si>
  <si>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</si>
  <si>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</si>
  <si>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</si>
  <si>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</si>
  <si>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</si>
  <si>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</si>
  <si>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</si>
  <si>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</si>
  <si>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</si>
  <si>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</si>
  <si>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</si>
  <si>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</si>
  <si>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</si>
  <si>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</si>
  <si>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</si>
  <si>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</si>
  <si>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</si>
  <si>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</si>
  <si>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</si>
  <si>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</si>
  <si>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</si>
  <si>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</si>
  <si>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</si>
  <si>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</si>
  <si>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</si>
  <si>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</si>
  <si>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</si>
  <si>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</si>
  <si>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</si>
  <si>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</si>
  <si>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</si>
  <si>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</si>
  <si>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</si>
  <si>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</si>
  <si>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</si>
  <si>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</si>
  <si>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</si>
  <si>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</si>
  <si>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</si>
  <si>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</si>
  <si>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</si>
  <si>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</si>
  <si>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</si>
  <si>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</si>
  <si>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</si>
  <si>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</si>
  <si>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</si>
  <si>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</si>
  <si>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</si>
  <si>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</si>
  <si>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</si>
  <si>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</si>
  <si>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</si>
  <si>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</si>
  <si>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</si>
  <si>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</si>
  <si>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</si>
  <si>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</si>
  <si>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</si>
  <si>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</si>
  <si>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</si>
  <si>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</si>
  <si>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</si>
  <si>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</si>
  <si>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</si>
  <si>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</si>
  <si>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</si>
  <si>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</si>
  <si>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</si>
  <si>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</si>
  <si>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</si>
  <si>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</si>
  <si>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</si>
  <si>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</si>
  <si>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</si>
  <si>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</si>
  <si>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</si>
  <si>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</si>
  <si>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</si>
  <si>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</si>
  <si>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</si>
  <si>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</si>
  <si>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</si>
  <si>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</si>
  <si>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</si>
  <si>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</si>
  <si>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</si>
  <si>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</si>
  <si>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</si>
  <si>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</si>
  <si>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</si>
  <si>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</si>
  <si>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</si>
  <si>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</si>
  <si>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</si>
  <si>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</si>
  <si>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</si>
  <si>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</si>
  <si>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</si>
  <si>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</si>
  <si>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</si>
  <si>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</si>
  <si>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</si>
  <si>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</si>
  <si>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</si>
  <si>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</si>
  <si>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</si>
  <si>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</si>
  <si>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</si>
  <si>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</si>
  <si>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</si>
  <si>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</si>
  <si>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</si>
  <si>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</si>
  <si>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</si>
  <si>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</si>
  <si>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</si>
  <si>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</si>
  <si>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</si>
  <si>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</si>
  <si>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</si>
  <si>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</si>
  <si>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</si>
  <si>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</si>
  <si>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</si>
  <si>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</si>
  <si>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</si>
  <si>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</si>
  <si>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</si>
  <si>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</si>
  <si>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</si>
  <si>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</si>
  <si>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</si>
  <si>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</si>
  <si>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</si>
  <si>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</si>
  <si>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</si>
  <si>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</si>
  <si>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</si>
  <si>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</si>
  <si>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</si>
  <si>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</si>
  <si>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</si>
  <si>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</si>
  <si>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</si>
  <si>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</si>
  <si>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</si>
  <si>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</si>
  <si>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</si>
  <si>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</si>
  <si>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</si>
  <si>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</si>
  <si>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</si>
  <si>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</si>
  <si>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</si>
  <si>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</si>
  <si>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</si>
  <si>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</si>
  <si>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</si>
  <si>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</si>
  <si>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</si>
  <si>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</si>
  <si>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</si>
  <si>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</si>
  <si>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</si>
  <si>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</si>
  <si>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</si>
  <si>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</si>
  <si>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</si>
  <si>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</si>
  <si>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</si>
  <si>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</si>
  <si>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</si>
  <si>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</si>
  <si>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</si>
  <si>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</si>
  <si>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</si>
  <si>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</si>
  <si>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</si>
  <si>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</si>
  <si>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</si>
  <si>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</si>
  <si>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</si>
  <si>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</si>
  <si>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</si>
  <si>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</si>
  <si>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</si>
  <si>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</si>
  <si>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</si>
  <si>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</si>
  <si>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</si>
  <si>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</si>
  <si>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</si>
  <si>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</si>
  <si>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</si>
  <si>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</si>
  <si>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</si>
  <si>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</si>
  <si>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</si>
  <si>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</si>
  <si>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</si>
  <si>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</si>
  <si>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</si>
  <si>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</si>
  <si>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</si>
  <si>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</si>
  <si>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</si>
  <si>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</si>
  <si>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</si>
  <si>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</si>
  <si>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</si>
  <si>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</si>
  <si>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</si>
  <si>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</si>
  <si>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</si>
  <si>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</si>
  <si>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</si>
  <si>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</si>
  <si>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</si>
  <si>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</si>
  <si>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</si>
  <si>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</si>
  <si>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</si>
  <si>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</si>
  <si>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</si>
  <si>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</si>
  <si>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</si>
  <si>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</si>
  <si>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</si>
  <si>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</si>
  <si>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</si>
  <si>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</si>
  <si>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</si>
  <si>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</si>
  <si>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</si>
  <si>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</si>
  <si>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</si>
  <si>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</si>
  <si>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</si>
  <si>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</si>
  <si>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</si>
  <si>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</si>
  <si>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</si>
  <si>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</si>
  <si>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</si>
  <si>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</si>
  <si>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</si>
  <si>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</si>
  <si>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</si>
  <si>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</si>
  <si>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</si>
  <si>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</si>
  <si>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</si>
  <si>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</si>
  <si>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</si>
  <si>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</si>
  <si>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</si>
  <si>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</si>
  <si>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</si>
  <si>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</si>
  <si>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</si>
  <si>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</si>
  <si>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</si>
  <si>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</si>
  <si>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</si>
  <si>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</si>
  <si>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</si>
  <si>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</si>
  <si>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</si>
  <si>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</si>
  <si>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</si>
  <si>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</si>
  <si>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</si>
  <si>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</si>
  <si>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</si>
  <si>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</si>
  <si>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</si>
  <si>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</si>
  <si>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</si>
  <si>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</si>
  <si>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</si>
  <si>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</si>
  <si>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</si>
  <si>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</si>
  <si>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</si>
  <si>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</si>
  <si>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</si>
  <si>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</si>
  <si>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</si>
  <si>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</si>
  <si>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</si>
  <si>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</si>
  <si>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</si>
  <si>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</si>
  <si>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</si>
  <si>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</si>
  <si>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</si>
  <si>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</si>
  <si>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</si>
  <si>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</si>
  <si>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</si>
  <si>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</si>
  <si>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</si>
  <si>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</si>
  <si>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</si>
  <si>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</si>
  <si>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</si>
  <si>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</si>
  <si>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</si>
  <si>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</si>
  <si>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</si>
  <si>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</si>
  <si>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</si>
  <si>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</si>
  <si>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</si>
  <si>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</si>
  <si>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</si>
  <si>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</si>
  <si>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</si>
  <si>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</si>
  <si>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</si>
  <si>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</si>
  <si>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</si>
  <si>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</si>
  <si>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</si>
  <si>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</si>
  <si>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</si>
  <si>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</si>
  <si>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</si>
  <si>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</si>
  <si>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</si>
  <si>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</si>
  <si>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</si>
  <si>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</si>
  <si>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</si>
  <si>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</si>
  <si>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</si>
  <si>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</si>
  <si>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</si>
  <si>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</si>
  <si>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</si>
  <si>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</si>
  <si>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</si>
  <si>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</si>
  <si>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</si>
  <si>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</si>
  <si>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</si>
  <si>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</si>
  <si>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</si>
  <si>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</si>
  <si>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</si>
  <si>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</si>
  <si>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</si>
  <si>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</si>
  <si>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</si>
  <si>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</si>
  <si>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</si>
  <si>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</si>
  <si>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</si>
  <si>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</si>
  <si>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</si>
  <si>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</si>
  <si>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</si>
  <si>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</si>
  <si>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</si>
  <si>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</si>
  <si>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</si>
  <si>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</si>
  <si>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</si>
  <si>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</si>
  <si>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</si>
  <si>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</si>
  <si>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</si>
  <si>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</si>
  <si>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</si>
  <si>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</si>
  <si>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</si>
  <si>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</si>
  <si>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</si>
  <si>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</si>
  <si>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</si>
  <si>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</si>
  <si>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</si>
  <si>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</si>
  <si>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</si>
  <si>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</si>
  <si>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</si>
  <si>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</si>
  <si>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</si>
  <si>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</si>
  <si>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</si>
  <si>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</si>
  <si>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</si>
  <si>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</si>
  <si>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</si>
  <si>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</si>
  <si>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</si>
  <si>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</si>
  <si>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</si>
  <si>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</si>
  <si>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</si>
  <si>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</si>
  <si>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</si>
  <si>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</si>
  <si>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</si>
  <si>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</si>
  <si>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</si>
  <si>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</si>
  <si>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</si>
  <si>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</si>
  <si>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</si>
  <si>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</si>
  <si>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</si>
  <si>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</si>
  <si>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</si>
  <si>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</si>
  <si>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</si>
  <si>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</si>
  <si>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</si>
  <si>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</si>
  <si>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</si>
  <si>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</si>
  <si>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</si>
  <si>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</si>
  <si>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</si>
  <si>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</si>
  <si>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</si>
  <si>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</si>
  <si>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</si>
  <si>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</si>
  <si>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</si>
  <si>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</si>
  <si>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</si>
  <si>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</si>
  <si>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</si>
  <si>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</si>
  <si>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</si>
  <si>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</si>
  <si>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</si>
  <si>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</si>
  <si>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</si>
  <si>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</si>
  <si>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</si>
  <si>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</si>
  <si>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</si>
  <si>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</si>
  <si>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</si>
  <si>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</si>
  <si>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</si>
  <si>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</si>
  <si>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</si>
  <si>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</si>
  <si>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</si>
  <si>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</si>
  <si>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</si>
  <si>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</si>
  <si>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</si>
  <si>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</si>
  <si>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</si>
  <si>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</si>
  <si>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</si>
  <si>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</si>
  <si>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</si>
  <si>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</si>
  <si>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</si>
  <si>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</si>
  <si>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</si>
  <si>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</si>
  <si>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</si>
  <si>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</si>
  <si>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</si>
  <si>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</si>
  <si>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</si>
  <si>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</si>
  <si>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</si>
  <si>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</si>
  <si>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</si>
  <si>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</si>
  <si>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</si>
  <si>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</si>
  <si>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</si>
  <si>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</si>
  <si>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</si>
  <si>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</si>
  <si>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</si>
  <si>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</si>
  <si>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</si>
  <si>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</si>
  <si>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</si>
  <si>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</si>
  <si>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</si>
  <si>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</si>
  <si>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</si>
  <si>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</si>
  <si>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</si>
  <si>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</si>
  <si>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</si>
  <si>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</si>
  <si>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</si>
  <si>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</si>
  <si>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</si>
  <si>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</si>
  <si>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</si>
  <si>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</si>
  <si>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</si>
  <si>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</si>
  <si>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</si>
  <si>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</si>
  <si>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</si>
  <si>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</si>
  <si>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</si>
  <si>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</si>
  <si>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</si>
  <si>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</si>
  <si>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</si>
  <si>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</si>
  <si>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</si>
  <si>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</si>
  <si>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</si>
  <si>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</si>
  <si>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</si>
  <si>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</si>
  <si>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</si>
  <si>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</si>
  <si>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</si>
  <si>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</si>
  <si>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</si>
  <si>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</si>
  <si>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</si>
  <si>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</si>
  <si>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</si>
  <si>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</si>
  <si>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</si>
  <si>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</si>
  <si>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</si>
  <si>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</si>
  <si>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</si>
  <si>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</si>
  <si>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</si>
  <si>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</si>
  <si>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</si>
  <si>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</si>
  <si>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</si>
  <si>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</si>
  <si>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</si>
  <si>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</si>
  <si>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</si>
  <si>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</si>
  <si>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</si>
  <si>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</si>
  <si>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</si>
  <si>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</si>
  <si>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</si>
  <si>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</si>
  <si>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</si>
  <si>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</si>
  <si>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</si>
  <si>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</si>
  <si>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</si>
  <si>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</si>
  <si>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</si>
  <si>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</si>
  <si>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</si>
  <si>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</si>
  <si>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</si>
  <si>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</si>
  <si>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</si>
  <si>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</si>
  <si>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</si>
  <si>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</si>
  <si>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</si>
  <si>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</si>
  <si>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</si>
  <si>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</si>
  <si>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</si>
  <si>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</si>
  <si>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</si>
  <si>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</si>
  <si>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</si>
  <si>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</si>
  <si>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</si>
  <si>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</si>
  <si>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</si>
  <si>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</si>
  <si>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</si>
  <si>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</si>
  <si>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</si>
  <si>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</si>
  <si>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</si>
  <si>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</si>
  <si>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</si>
  <si>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</si>
  <si>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</si>
  <si>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</si>
  <si>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</si>
  <si>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</si>
  <si>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</si>
  <si>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</si>
  <si>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</si>
  <si>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</si>
  <si>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</si>
  <si>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</si>
  <si>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</si>
  <si>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</si>
  <si>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</si>
  <si>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</si>
  <si>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</si>
  <si>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</si>
  <si>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</si>
  <si>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</si>
  <si>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</si>
  <si>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</si>
  <si>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</si>
  <si>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</si>
  <si>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</si>
  <si>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</si>
  <si>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</si>
  <si>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</si>
  <si>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</si>
  <si>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</si>
  <si>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</si>
  <si>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</si>
  <si>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</si>
  <si>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</si>
  <si>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</si>
  <si>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</si>
  <si>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</si>
  <si>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</si>
  <si>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</si>
  <si>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</si>
  <si>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</si>
  <si>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</si>
  <si>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</si>
  <si>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</si>
  <si>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</si>
  <si>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</si>
  <si>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</si>
  <si>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</si>
  <si>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</si>
  <si>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</si>
  <si>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</si>
  <si>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</si>
  <si>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</si>
  <si>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</si>
  <si>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</si>
  <si>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</si>
  <si>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</si>
  <si>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</si>
  <si>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</si>
  <si>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</si>
  <si>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</si>
  <si>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</si>
  <si>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</si>
  <si>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</si>
  <si>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</si>
  <si>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</si>
  <si>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</si>
  <si>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</si>
  <si>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</si>
  <si>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</si>
  <si>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</si>
  <si>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</si>
  <si>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</si>
  <si>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</si>
  <si>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</si>
  <si>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</si>
  <si>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</si>
  <si>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</si>
  <si>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</si>
  <si>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</si>
  <si>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</si>
  <si>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</si>
  <si>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</si>
  <si>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</si>
  <si>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</si>
  <si>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</si>
  <si>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</si>
  <si>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</si>
  <si>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</si>
  <si>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</si>
  <si>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</si>
  <si>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</si>
  <si>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</si>
  <si>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</si>
  <si>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</si>
  <si>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</si>
  <si>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</si>
  <si>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</si>
  <si>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</si>
  <si>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</si>
  <si>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</si>
  <si>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</si>
  <si>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</si>
  <si>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</si>
  <si>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</si>
  <si>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</si>
  <si>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</si>
  <si>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</si>
  <si>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</si>
  <si>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</si>
  <si>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</si>
  <si>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</si>
  <si>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</si>
  <si>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</si>
  <si>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</si>
  <si>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</si>
  <si>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</si>
  <si>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</si>
  <si>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</si>
  <si>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</si>
  <si>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</si>
  <si>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</si>
  <si>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</si>
  <si>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</si>
  <si>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</si>
  <si>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</si>
  <si>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</si>
  <si>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</si>
  <si>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</si>
  <si>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</si>
  <si>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</si>
  <si>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</si>
  <si>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</si>
  <si>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</si>
  <si>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</si>
  <si>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</si>
  <si>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</si>
  <si>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</si>
  <si>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</si>
  <si>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</si>
  <si>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</si>
  <si>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</si>
  <si>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</si>
  <si>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</si>
  <si>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</si>
  <si>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</si>
  <si>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</si>
  <si>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</si>
  <si>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</si>
  <si>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</si>
  <si>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</si>
  <si>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</si>
  <si>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</si>
  <si>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</si>
  <si>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</si>
  <si>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</si>
  <si>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</si>
  <si>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</si>
  <si>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</si>
  <si>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</si>
  <si>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</si>
  <si>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</si>
  <si>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</si>
  <si>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</si>
  <si>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</si>
  <si>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</si>
  <si>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</si>
  <si>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</si>
  <si>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</si>
  <si>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</si>
  <si>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</si>
  <si>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</si>
  <si>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</si>
  <si>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</si>
  <si>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</si>
  <si>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</si>
  <si>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</si>
  <si>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</si>
  <si>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</si>
  <si>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</si>
  <si>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</si>
  <si>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</si>
  <si>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</si>
  <si>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</si>
  <si>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</si>
  <si>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</si>
  <si>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</si>
  <si>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</si>
  <si>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</si>
  <si>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</si>
  <si>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</si>
  <si>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</si>
  <si>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</si>
  <si>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</si>
  <si>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</si>
  <si>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</si>
  <si>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</si>
  <si>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</si>
  <si>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</si>
  <si>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</si>
  <si>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</si>
  <si>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</si>
  <si>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</si>
  <si>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</si>
  <si>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</si>
  <si>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</si>
  <si>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</si>
  <si>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</si>
  <si>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</si>
  <si>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</si>
  <si>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</si>
  <si>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</si>
  <si>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</si>
  <si>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</si>
  <si>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</si>
  <si>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</si>
  <si>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</si>
  <si>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</si>
  <si>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</si>
  <si>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</si>
  <si>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</si>
  <si>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</si>
  <si>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</si>
  <si>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</si>
  <si>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</si>
  <si>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</si>
  <si>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</si>
  <si>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</si>
  <si>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</si>
  <si>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</si>
  <si>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</si>
  <si>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</si>
  <si>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</si>
  <si>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</si>
  <si>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</si>
  <si>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</si>
  <si>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</si>
  <si>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</si>
  <si>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</si>
  <si>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</si>
  <si>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</si>
  <si>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</si>
  <si>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</si>
  <si>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</si>
  <si>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</si>
  <si>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</si>
  <si>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</si>
  <si>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</si>
  <si>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</si>
  <si>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</si>
  <si>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</si>
  <si>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</si>
  <si>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</si>
  <si>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</si>
  <si>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</si>
  <si>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</si>
  <si>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</si>
  <si>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</si>
  <si>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</si>
  <si>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</si>
  <si>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</si>
  <si>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</si>
  <si>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</si>
  <si>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</si>
  <si>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</si>
  <si>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</si>
  <si>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</si>
  <si>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</si>
  <si>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</si>
  <si>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</si>
  <si>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</si>
  <si>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</si>
  <si>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</si>
  <si>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</si>
  <si>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</si>
  <si>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</si>
  <si>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</si>
  <si>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</si>
  <si>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</si>
  <si>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</si>
  <si>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</si>
  <si>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</si>
  <si>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</si>
  <si>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</si>
  <si>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</si>
  <si>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</si>
  <si>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</si>
  <si>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</si>
  <si>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</si>
  <si>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</si>
  <si>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</si>
  <si>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</si>
  <si>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</si>
  <si>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</si>
  <si>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</si>
  <si>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</si>
  <si>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</si>
  <si>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</si>
  <si>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</si>
  <si>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</si>
  <si>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</si>
  <si>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</si>
  <si>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</si>
  <si>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</si>
  <si>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</si>
  <si>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</si>
  <si>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</si>
  <si>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</si>
  <si>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</si>
  <si>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</si>
  <si>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</si>
  <si>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</si>
  <si>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</si>
  <si>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</si>
  <si>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</si>
  <si>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</si>
  <si>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</si>
  <si>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</si>
  <si>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</si>
  <si>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</si>
  <si>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</si>
  <si>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</si>
  <si>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</si>
  <si>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</si>
  <si>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</si>
  <si>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</si>
  <si>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</si>
  <si>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</si>
  <si>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</si>
  <si>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</si>
  <si>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</si>
  <si>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</si>
  <si>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</si>
  <si>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</si>
  <si>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</si>
  <si>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</si>
  <si>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</si>
  <si>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</si>
  <si>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</si>
  <si>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</si>
  <si>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</si>
  <si>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</si>
  <si>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</si>
  <si>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</si>
  <si>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</si>
  <si>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</si>
  <si>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</si>
  <si>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</si>
  <si>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</si>
  <si>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</si>
  <si>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</si>
  <si>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</si>
  <si>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</si>
  <si>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</si>
  <si>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</si>
  <si>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</si>
  <si>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</si>
  <si>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</si>
  <si>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</si>
  <si>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</si>
  <si>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</si>
  <si>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</si>
  <si>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</si>
  <si>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</si>
  <si>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</si>
  <si>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</si>
  <si>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</si>
  <si>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</si>
  <si>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</si>
  <si>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</si>
  <si>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</si>
  <si>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</si>
  <si>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</si>
  <si>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</si>
  <si>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</si>
  <si>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</si>
  <si>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</si>
  <si>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</si>
  <si>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</si>
  <si>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</si>
  <si>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</si>
  <si>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</si>
  <si>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</si>
  <si>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</si>
  <si>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</si>
  <si>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</si>
  <si>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</si>
  <si>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</si>
  <si>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</si>
  <si>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</si>
  <si>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</si>
  <si>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</si>
  <si>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</si>
  <si>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</si>
  <si>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</si>
  <si>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</si>
  <si>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</si>
  <si>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</si>
  <si>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</si>
  <si>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</si>
  <si>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</si>
  <si>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</si>
  <si>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</si>
  <si>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</si>
  <si>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</si>
  <si>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</si>
  <si>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</si>
  <si>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</si>
  <si>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</si>
  <si>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</si>
  <si>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</si>
  <si>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</si>
  <si>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</si>
  <si>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</si>
  <si>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</si>
  <si>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</si>
  <si>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</si>
  <si>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</si>
  <si>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</si>
  <si>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</si>
  <si>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</si>
  <si>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</si>
  <si>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</si>
  <si>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</si>
  <si>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</si>
  <si>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</si>
  <si>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</si>
  <si>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</si>
  <si>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</si>
  <si>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</si>
  <si>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</si>
  <si>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</si>
  <si>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</si>
  <si>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</si>
  <si>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</si>
  <si>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</si>
  <si>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</si>
  <si>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</si>
  <si>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</si>
  <si>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</si>
  <si>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</si>
  <si>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</si>
  <si>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</si>
  <si>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</si>
  <si>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</si>
  <si>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</si>
  <si>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</si>
  <si>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</si>
  <si>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</si>
  <si>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</si>
  <si>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</si>
  <si>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</si>
  <si>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</si>
  <si>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</si>
  <si>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</si>
  <si>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</si>
  <si>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</si>
  <si>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</si>
  <si>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</si>
  <si>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</si>
  <si>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</si>
  <si>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</si>
  <si>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</si>
  <si>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</si>
  <si>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</si>
  <si>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</si>
  <si>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</si>
  <si>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</si>
  <si>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</si>
  <si>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</si>
  <si>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</si>
  <si>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</si>
  <si>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</si>
  <si>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</si>
  <si>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</si>
  <si>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</si>
  <si>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</si>
  <si>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</si>
  <si>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</si>
  <si>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</si>
  <si>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</si>
  <si>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</si>
  <si>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</si>
  <si>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</si>
  <si>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</si>
  <si>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</si>
  <si>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</si>
  <si>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</si>
  <si>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</si>
  <si>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</si>
  <si>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</si>
  <si>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</si>
  <si>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</si>
  <si>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</si>
  <si>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</si>
  <si>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</si>
  <si>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</si>
  <si>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</si>
  <si>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</si>
  <si>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</si>
  <si>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</si>
  <si>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</si>
  <si>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</si>
  <si>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</si>
  <si>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</si>
  <si>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</si>
  <si>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</si>
  <si>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</si>
  <si>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</si>
  <si>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</si>
  <si>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</si>
  <si>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</si>
  <si>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</si>
  <si>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</si>
  <si>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</si>
  <si>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</si>
  <si>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</si>
  <si>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</si>
  <si>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</si>
  <si>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</si>
  <si>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</si>
  <si>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</si>
  <si>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</si>
  <si>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</si>
  <si>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</si>
  <si>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</si>
  <si>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</si>
  <si>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</si>
  <si>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</si>
  <si>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</si>
  <si>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</si>
  <si>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</si>
  <si>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</si>
  <si>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</si>
  <si>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</si>
  <si>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</si>
  <si>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</si>
  <si>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</si>
  <si>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</si>
  <si>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</si>
  <si>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</si>
  <si>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</si>
  <si>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</si>
  <si>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</si>
  <si>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</si>
  <si>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</si>
  <si>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</si>
  <si>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</si>
  <si>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</si>
  <si>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</si>
  <si>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</si>
  <si>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</si>
  <si>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</si>
  <si>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</si>
  <si>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</si>
  <si>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</si>
  <si>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</si>
  <si>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</si>
  <si>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</si>
  <si>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</si>
  <si>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</si>
  <si>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</si>
  <si>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</si>
  <si>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</si>
  <si>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</si>
  <si>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</si>
  <si>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</si>
  <si>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</si>
  <si>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</si>
  <si>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</si>
  <si>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</si>
  <si>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</si>
  <si>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</si>
  <si>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</si>
  <si>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</si>
  <si>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</si>
  <si>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</si>
  <si>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</si>
  <si>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</si>
  <si>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</si>
  <si>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</si>
  <si>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</si>
  <si>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</si>
  <si>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</si>
  <si>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</si>
  <si>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</si>
  <si>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</si>
  <si>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</si>
  <si>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</si>
  <si>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</si>
  <si>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</si>
  <si>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</si>
  <si>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</si>
  <si>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</si>
  <si>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</si>
  <si>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</si>
  <si>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</si>
  <si>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</si>
  <si>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</si>
  <si>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</si>
  <si>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</si>
  <si>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</si>
  <si>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</si>
  <si>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</si>
  <si>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</si>
  <si>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</si>
  <si>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</si>
  <si>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</si>
  <si>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</si>
  <si>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</si>
  <si>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</si>
  <si>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</si>
  <si>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</si>
  <si>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</si>
  <si>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</si>
  <si>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</si>
  <si>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</si>
  <si>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</si>
  <si>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</si>
  <si>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</si>
  <si>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</si>
  <si>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</si>
  <si>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</si>
  <si>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</si>
  <si>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</si>
  <si>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</si>
  <si>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</si>
  <si>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</si>
  <si>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</si>
  <si>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</si>
  <si>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</si>
  <si>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</si>
  <si>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</si>
  <si>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</si>
  <si>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</si>
  <si>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</si>
  <si>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</si>
  <si>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</si>
  <si>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</si>
  <si>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</si>
  <si>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</si>
  <si>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</si>
  <si>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</si>
  <si>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</si>
  <si>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</si>
  <si>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</si>
  <si>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</si>
  <si>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</si>
  <si>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</si>
  <si>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</si>
  <si>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</si>
  <si>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</si>
  <si>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</si>
  <si>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</si>
  <si>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</si>
  <si>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</si>
  <si>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</si>
  <si>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</si>
  <si>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</si>
  <si>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</si>
  <si>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</si>
  <si>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</si>
  <si>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</si>
  <si>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</si>
  <si>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</si>
  <si>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</si>
  <si>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</si>
  <si>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</si>
  <si>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</si>
  <si>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</si>
  <si>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</si>
  <si>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</si>
  <si>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</si>
  <si>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</si>
  <si>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</si>
  <si>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</si>
  <si>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</si>
  <si>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</si>
  <si>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</si>
  <si>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</si>
  <si>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</si>
  <si>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</si>
  <si>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</si>
  <si>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</si>
  <si>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</si>
  <si>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</si>
  <si>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</si>
  <si>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</si>
  <si>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</si>
  <si>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</si>
  <si>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</si>
  <si>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</si>
  <si>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</si>
  <si>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</si>
  <si>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</si>
  <si>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</si>
  <si>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</si>
  <si>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</si>
  <si>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</si>
  <si>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</si>
  <si>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</si>
  <si>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</si>
  <si>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</si>
  <si>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</si>
  <si>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</si>
  <si>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</si>
  <si>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</si>
  <si>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</si>
  <si>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</si>
  <si>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</si>
  <si>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</si>
  <si>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</si>
  <si>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</si>
  <si>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</si>
  <si>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</si>
  <si>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</si>
  <si>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</si>
  <si>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</si>
  <si>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</si>
  <si>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</si>
  <si>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</si>
  <si>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</si>
  <si>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</si>
  <si>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</si>
  <si>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</si>
  <si>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</si>
  <si>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</si>
  <si>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</si>
  <si>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</si>
  <si>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</si>
  <si>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</si>
  <si>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</si>
  <si>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</si>
  <si>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</si>
  <si>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</si>
  <si>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</si>
  <si>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</si>
  <si>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</si>
  <si>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</si>
  <si>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</si>
  <si>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</si>
  <si>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</si>
  <si>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</si>
  <si>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</si>
  <si>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</si>
  <si>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</si>
  <si>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</si>
  <si>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</si>
  <si>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</si>
  <si>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</si>
  <si>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</si>
  <si>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</si>
  <si>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</si>
  <si>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</si>
  <si>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</si>
  <si>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</si>
  <si>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</si>
  <si>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</si>
  <si>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</si>
  <si>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</si>
  <si>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</si>
  <si>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</si>
  <si>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</si>
  <si>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</si>
  <si>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</si>
  <si>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</si>
  <si>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</si>
  <si>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</si>
  <si>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</si>
  <si>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</si>
  <si>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</si>
  <si>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</si>
  <si>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</si>
  <si>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</si>
  <si>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</si>
  <si>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</si>
  <si>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</si>
  <si>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</si>
  <si>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</si>
  <si>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</si>
  <si>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</si>
  <si>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</si>
  <si>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</si>
  <si>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</si>
  <si>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</si>
  <si>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</si>
  <si>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</si>
  <si>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</si>
  <si>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</si>
  <si>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</si>
  <si>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</si>
  <si>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</si>
  <si>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</si>
  <si>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</si>
  <si>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</si>
  <si>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</si>
  <si>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</si>
  <si>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</si>
  <si>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</si>
  <si>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</si>
  <si>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</si>
  <si>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</si>
  <si>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</si>
  <si>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</si>
  <si>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</si>
  <si>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</si>
  <si>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</si>
  <si>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</si>
  <si>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</si>
  <si>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</si>
  <si>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</si>
  <si>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</si>
  <si>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</si>
  <si>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</si>
  <si>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</si>
  <si>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</si>
  <si>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</si>
  <si>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</si>
  <si>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</si>
  <si>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</si>
  <si>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</si>
  <si>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</si>
  <si>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</si>
  <si>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</si>
  <si>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</si>
  <si>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</si>
  <si>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</si>
  <si>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</si>
  <si>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</si>
  <si>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</si>
  <si>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</si>
  <si>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</si>
  <si>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</si>
  <si>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</si>
  <si>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</si>
  <si>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</si>
  <si>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</si>
  <si>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</si>
  <si>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</si>
  <si>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</si>
  <si>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</si>
  <si>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</si>
  <si>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</si>
  <si>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</si>
  <si>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</si>
  <si>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</si>
  <si>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</si>
  <si>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</si>
  <si>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</si>
  <si>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</si>
  <si>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</si>
  <si>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</si>
  <si>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</si>
  <si>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</si>
  <si>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</si>
  <si>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</si>
  <si>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</si>
  <si>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</si>
  <si>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</si>
  <si>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</si>
  <si>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</si>
  <si>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</si>
  <si>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</si>
  <si>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</si>
  <si>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</si>
  <si>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</si>
  <si>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</si>
  <si>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</si>
  <si>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</si>
  <si>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</si>
  <si>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</si>
  <si>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</si>
  <si>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</si>
  <si>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</si>
  <si>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</si>
  <si>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</si>
  <si>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</si>
  <si>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</si>
  <si>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</si>
  <si>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</si>
  <si>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</si>
  <si>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</si>
  <si>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</si>
  <si>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</si>
  <si>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</si>
  <si>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</si>
  <si>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</si>
  <si>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</si>
  <si>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</si>
  <si>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</si>
  <si>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</si>
  <si>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</si>
  <si>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</si>
  <si>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</si>
  <si>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</si>
  <si>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</si>
  <si>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</si>
  <si>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</si>
  <si>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</si>
  <si>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</si>
  <si>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</si>
  <si>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</si>
  <si>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</si>
  <si>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</si>
  <si>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</si>
  <si>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</si>
  <si>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</si>
  <si>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</si>
  <si>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</si>
  <si>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</si>
  <si>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</si>
  <si>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</si>
  <si>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</si>
  <si>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</si>
  <si>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</si>
  <si>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</si>
  <si>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</si>
  <si>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</si>
  <si>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</si>
  <si>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</si>
  <si>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</si>
  <si>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</si>
  <si>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</si>
  <si>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</si>
  <si>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</si>
  <si>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</si>
  <si>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</si>
  <si>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</si>
  <si>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</si>
  <si>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</si>
  <si>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</si>
  <si>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</si>
  <si>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</si>
  <si>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</si>
  <si>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</si>
  <si>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</si>
  <si>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</si>
  <si>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</si>
  <si>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</si>
  <si>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</si>
  <si>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</si>
  <si>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</si>
  <si>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</si>
  <si>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</si>
  <si>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</si>
  <si>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</si>
  <si>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</si>
  <si>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</si>
  <si>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</si>
  <si>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</si>
  <si>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</si>
  <si>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</si>
  <si>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</si>
  <si>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</si>
  <si>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</si>
  <si>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</si>
  <si>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</si>
  <si>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</si>
  <si>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</si>
  <si>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</si>
  <si>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</si>
  <si>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</si>
  <si>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</si>
  <si>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</si>
  <si>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</si>
  <si>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</si>
  <si>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</si>
  <si>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</si>
  <si>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</si>
  <si>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</si>
  <si>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</si>
  <si>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</si>
  <si>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</si>
  <si>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</si>
  <si>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</si>
  <si>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</si>
  <si>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</si>
  <si>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</si>
  <si>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</si>
  <si>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</si>
  <si>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</si>
  <si>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</si>
  <si>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</si>
  <si>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</si>
  <si>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</si>
  <si>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</si>
  <si>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</si>
  <si>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</si>
  <si>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</si>
  <si>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</si>
  <si>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</si>
  <si>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</si>
  <si>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</si>
  <si>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</si>
  <si>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</si>
  <si>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</si>
  <si>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</si>
  <si>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</si>
  <si>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</si>
  <si>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</si>
  <si>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</si>
  <si>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</si>
  <si>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</si>
  <si>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</si>
  <si>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</si>
  <si>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</si>
  <si>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</si>
  <si>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</si>
  <si>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</si>
  <si>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</si>
  <si>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</si>
  <si>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</si>
  <si>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</si>
  <si>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</si>
  <si>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</si>
  <si>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</si>
  <si>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</si>
  <si>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</si>
  <si>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</si>
  <si>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</si>
  <si>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</si>
  <si>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</si>
  <si>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</si>
  <si>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</si>
  <si>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</si>
  <si>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</si>
  <si>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</si>
  <si>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</si>
  <si>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</si>
  <si>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</si>
  <si>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</si>
  <si>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</si>
  <si>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</si>
  <si>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</si>
  <si>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</si>
  <si>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</si>
  <si>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</si>
  <si>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</si>
  <si>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</si>
  <si>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</si>
  <si>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</si>
  <si>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</si>
  <si>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</si>
  <si>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</si>
  <si>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</si>
  <si>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</si>
  <si>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</si>
  <si>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</si>
  <si>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</si>
  <si>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</si>
  <si>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</si>
  <si>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</si>
  <si>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</si>
  <si>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</si>
  <si>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</si>
  <si>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</si>
  <si>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</si>
  <si>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</si>
  <si>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</si>
  <si>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</si>
  <si>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</si>
  <si>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</si>
  <si>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</si>
  <si>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</si>
  <si>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</si>
  <si>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</si>
  <si>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</si>
  <si>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</si>
  <si>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</si>
  <si>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</si>
  <si>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</si>
  <si>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</si>
  <si>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</si>
  <si>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</si>
  <si>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</si>
  <si>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</si>
  <si>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</si>
  <si>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</si>
  <si>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</si>
  <si>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</si>
  <si>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</si>
  <si>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</si>
  <si>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</si>
  <si>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</si>
  <si>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</si>
  <si>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</si>
  <si>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</si>
  <si>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</si>
  <si>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</si>
  <si>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</si>
  <si>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</si>
  <si>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</si>
  <si>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</si>
  <si>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</si>
  <si>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</si>
  <si>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</si>
  <si>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</si>
  <si>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</si>
  <si>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</si>
  <si>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</si>
  <si>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</si>
  <si>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</si>
  <si>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</si>
  <si>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</si>
  <si>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</si>
  <si>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</si>
  <si>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</si>
  <si>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</si>
  <si>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</si>
  <si>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</si>
  <si>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</si>
  <si>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</si>
  <si>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</si>
  <si>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</si>
  <si>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</si>
  <si>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</si>
  <si>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</si>
  <si>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</si>
  <si>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</si>
  <si>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</si>
  <si>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</si>
  <si>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</si>
  <si>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</si>
  <si>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</si>
  <si>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</si>
  <si>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</si>
  <si>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</si>
  <si>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</si>
  <si>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</si>
  <si>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</si>
  <si>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</si>
  <si>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</si>
  <si>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</si>
  <si>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</si>
  <si>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</si>
  <si>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</si>
  <si>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</si>
  <si>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</si>
  <si>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</si>
  <si>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</si>
  <si>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</si>
  <si>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</si>
  <si>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</si>
  <si>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</si>
  <si>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</si>
  <si>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</si>
  <si>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</si>
  <si>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</si>
  <si>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</si>
  <si>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</si>
  <si>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</si>
  <si>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</si>
  <si>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</si>
  <si>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</si>
  <si>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</si>
  <si>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</si>
  <si>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</si>
  <si>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</si>
  <si>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</si>
  <si>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</si>
  <si>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</si>
  <si>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</si>
  <si>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</si>
  <si>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</si>
  <si>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</si>
  <si>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</si>
  <si>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</si>
  <si>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</si>
  <si>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</si>
  <si>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</si>
  <si>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</si>
  <si>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</si>
  <si>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</si>
  <si>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</si>
  <si>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</si>
  <si>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</si>
  <si>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</si>
  <si>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</si>
  <si>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</si>
  <si>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</si>
  <si>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</si>
  <si>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</si>
  <si>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</si>
  <si>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</si>
  <si>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</si>
  <si>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</si>
  <si>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</si>
  <si>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</si>
  <si>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</si>
  <si>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</si>
  <si>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</si>
  <si>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</si>
  <si>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</si>
  <si>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</si>
  <si>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</si>
  <si>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</si>
  <si>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</si>
  <si>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</si>
  <si>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</si>
  <si>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</si>
  <si>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</si>
  <si>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</si>
  <si>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</si>
  <si>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</si>
  <si>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</si>
  <si>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</si>
  <si>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</si>
  <si>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</si>
  <si>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</si>
  <si>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</si>
  <si>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</si>
  <si>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</si>
  <si>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</si>
  <si>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</si>
  <si>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</si>
  <si>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</si>
  <si>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</si>
  <si>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</si>
  <si>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</si>
  <si>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</si>
  <si>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</si>
  <si>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</si>
  <si>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</si>
  <si>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</si>
  <si>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</si>
  <si>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</si>
  <si>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</si>
  <si>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</si>
  <si>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</si>
  <si>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</si>
  <si>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</si>
  <si>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</si>
  <si>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</si>
  <si>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</si>
  <si>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</si>
  <si>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</si>
  <si>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</si>
  <si>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</si>
  <si>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</si>
  <si>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</si>
  <si>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</si>
  <si>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</si>
  <si>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</si>
  <si>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</si>
  <si>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</si>
  <si>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</si>
  <si>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</si>
  <si>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</si>
  <si>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</si>
  <si>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</si>
  <si>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</si>
  <si>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</si>
  <si>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</si>
  <si>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</si>
  <si>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</si>
  <si>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</si>
  <si>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</si>
  <si>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</si>
  <si>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</si>
  <si>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</si>
  <si>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</si>
  <si>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</si>
  <si>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</si>
  <si>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</si>
  <si>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</si>
  <si>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</si>
  <si>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</si>
  <si>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</si>
  <si>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</si>
  <si>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</si>
  <si>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</si>
  <si>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</si>
  <si>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</si>
  <si>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</si>
  <si>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</si>
  <si>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</si>
  <si>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</si>
  <si>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</si>
  <si>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</si>
  <si>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</si>
  <si>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</si>
  <si>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</si>
  <si>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</si>
  <si>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</si>
  <si>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</si>
  <si>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</si>
  <si>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</si>
  <si>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</si>
  <si>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</si>
  <si>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</si>
  <si>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</si>
  <si>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</si>
  <si>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</si>
  <si>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</si>
  <si>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</si>
  <si>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</si>
  <si>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</si>
  <si>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</si>
  <si>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</si>
  <si>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</si>
  <si>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</si>
  <si>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</si>
  <si>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</si>
  <si>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</si>
  <si>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</si>
  <si>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</si>
  <si>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</si>
  <si>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</si>
  <si>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</si>
  <si>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</si>
  <si>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</si>
  <si>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</si>
  <si>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</si>
  <si>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</si>
  <si>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</si>
  <si>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</si>
  <si>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</si>
  <si>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</si>
  <si>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</si>
  <si>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</si>
  <si>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</si>
  <si>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</si>
  <si>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</si>
  <si>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</si>
  <si>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</si>
  <si>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</si>
  <si>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</si>
  <si>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</si>
  <si>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</si>
  <si>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</si>
  <si>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</si>
  <si>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</si>
  <si>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</si>
  <si>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</si>
  <si>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</si>
  <si>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</si>
  <si>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</si>
  <si>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</si>
  <si>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</si>
  <si>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</si>
  <si>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</si>
  <si>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</si>
  <si>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</si>
  <si>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</si>
  <si>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</si>
  <si>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</si>
  <si>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</si>
  <si>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</si>
  <si>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</si>
  <si>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</si>
  <si>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</si>
  <si>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</si>
  <si>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</si>
  <si>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</si>
  <si>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</si>
  <si>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</si>
  <si>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</si>
  <si>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</si>
  <si>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</si>
  <si>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</si>
  <si>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</si>
  <si>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</si>
  <si>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</si>
  <si>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</si>
  <si>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</si>
  <si>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</si>
  <si>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</si>
  <si>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</si>
  <si>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</si>
  <si>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</si>
  <si>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</si>
  <si>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</si>
  <si>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</si>
  <si>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</si>
  <si>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</si>
  <si>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</si>
  <si>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</si>
  <si>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</si>
  <si>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</si>
  <si>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</si>
  <si>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</si>
  <si>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</si>
  <si>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</si>
  <si>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</si>
  <si>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</si>
  <si>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</si>
  <si>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</si>
  <si>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</si>
  <si>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</si>
  <si>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</si>
  <si>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</si>
  <si>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</si>
  <si>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</si>
  <si>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</si>
  <si>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</si>
  <si>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</si>
  <si>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</si>
  <si>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</si>
  <si>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</si>
  <si>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</si>
  <si>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</si>
  <si>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</si>
  <si>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</si>
  <si>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</si>
  <si>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</si>
  <si>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</si>
  <si>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</si>
  <si>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</si>
  <si>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</si>
  <si>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</si>
  <si>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</si>
  <si>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</si>
  <si>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</si>
  <si>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</si>
  <si>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</si>
  <si>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</si>
  <si>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</si>
  <si>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</si>
  <si>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</si>
  <si>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</si>
  <si>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</si>
  <si>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</si>
  <si>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</si>
  <si>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</si>
  <si>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</si>
  <si>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</si>
  <si>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</si>
  <si>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</si>
  <si>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</si>
  <si>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</si>
  <si>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</si>
  <si>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</si>
  <si>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</si>
  <si>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</si>
  <si>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</si>
  <si>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</si>
  <si>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</si>
  <si>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</si>
  <si>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</si>
  <si>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</si>
  <si>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</si>
  <si>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</si>
  <si>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</si>
  <si>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</si>
  <si>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</si>
  <si>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</si>
  <si>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</si>
  <si>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</si>
  <si>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</si>
  <si>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</si>
  <si>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</si>
  <si>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</si>
  <si>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</si>
  <si>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</si>
  <si>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</si>
  <si>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</si>
  <si>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</si>
  <si>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</si>
  <si>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</si>
  <si>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</si>
  <si>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</si>
  <si>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</si>
  <si>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</si>
  <si>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</si>
  <si>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</si>
  <si>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</si>
  <si>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</si>
  <si>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</si>
  <si>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</si>
  <si>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</si>
  <si>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</si>
  <si>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</si>
  <si>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</si>
  <si>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</si>
  <si>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</si>
  <si>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</si>
  <si>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</si>
  <si>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</si>
  <si>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</si>
  <si>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</si>
  <si>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</si>
  <si>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</si>
  <si>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</si>
  <si>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</si>
  <si>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</si>
  <si>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</si>
  <si>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</si>
  <si>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</si>
  <si>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</si>
  <si>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</si>
  <si>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</si>
  <si>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</si>
  <si>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</si>
  <si>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</si>
  <si>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</si>
  <si>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</si>
  <si>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</si>
  <si>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</si>
  <si>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</si>
  <si>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</si>
  <si>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</si>
  <si>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</si>
  <si>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</si>
  <si>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</si>
  <si>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</si>
  <si>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</si>
  <si>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</si>
  <si>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</si>
  <si>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</si>
  <si>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</si>
  <si>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</si>
  <si>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</si>
  <si>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</si>
  <si>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</si>
  <si>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</si>
  <si>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</si>
  <si>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</si>
  <si>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</si>
  <si>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</si>
  <si>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</si>
  <si>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</si>
  <si>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</si>
  <si>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</si>
  <si>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</si>
  <si>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</si>
  <si>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</si>
  <si>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</si>
  <si>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</si>
  <si>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</si>
  <si>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</si>
  <si>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</si>
  <si>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</si>
  <si>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</si>
  <si>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</si>
  <si>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</si>
  <si>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</si>
  <si>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</si>
  <si>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</si>
  <si>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</si>
  <si>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</si>
  <si>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</si>
  <si>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</si>
  <si>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</si>
  <si>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</si>
  <si>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</si>
  <si>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</si>
  <si>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</si>
  <si>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</si>
  <si>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</si>
  <si>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</si>
  <si>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</si>
  <si>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</si>
  <si>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</si>
  <si>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</si>
  <si>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</si>
  <si>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</si>
  <si>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</si>
  <si>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</si>
  <si>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</si>
  <si>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</si>
  <si>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</si>
  <si>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</si>
  <si>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</si>
  <si>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</si>
  <si>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</si>
  <si>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</si>
  <si>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</si>
  <si>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</si>
  <si>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</si>
  <si>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</si>
  <si>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</si>
  <si>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</si>
  <si>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</si>
  <si>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</si>
  <si>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</si>
  <si>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</si>
  <si>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</si>
  <si>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</si>
  <si>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</si>
  <si>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</si>
  <si>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</si>
  <si>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</si>
  <si>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</si>
  <si>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</si>
  <si>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</si>
  <si>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</si>
  <si>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</si>
  <si>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</si>
  <si>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</si>
  <si>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</si>
  <si>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</si>
  <si>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</si>
  <si>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</si>
  <si>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</si>
  <si>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</si>
  <si>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</si>
  <si>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</si>
  <si>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</si>
  <si>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</si>
  <si>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</si>
  <si>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</si>
  <si>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</si>
  <si>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</si>
  <si>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</si>
  <si>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</si>
  <si>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</si>
  <si>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</si>
  <si>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</si>
  <si>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</si>
  <si>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</si>
  <si>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</si>
  <si>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</si>
  <si>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</si>
  <si>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</si>
  <si>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</si>
  <si>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</si>
  <si>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</si>
  <si>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</si>
  <si>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</si>
  <si>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</si>
  <si>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</si>
  <si>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</si>
  <si>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</si>
  <si>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</si>
  <si>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</si>
  <si>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</si>
  <si>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</si>
  <si>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</si>
  <si>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</si>
  <si>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</si>
  <si>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</si>
  <si>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</si>
  <si>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</si>
  <si>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</si>
  <si>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</si>
  <si>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</si>
  <si>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</si>
  <si>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</si>
  <si>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</si>
  <si>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</si>
  <si>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</si>
  <si>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</si>
  <si>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</si>
  <si>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</si>
  <si>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</si>
  <si>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</si>
  <si>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</si>
  <si>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</si>
  <si>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</si>
  <si>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</si>
  <si>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</si>
  <si>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</si>
  <si>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</si>
  <si>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</si>
  <si>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</si>
  <si>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</si>
  <si>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</si>
  <si>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</si>
  <si>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</si>
  <si>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</si>
  <si>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</si>
  <si>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</si>
  <si>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</si>
  <si>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</si>
  <si>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</si>
  <si>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</si>
  <si>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</si>
  <si>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</si>
  <si>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</si>
  <si>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</si>
  <si>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</si>
  <si>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</si>
  <si>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</si>
  <si>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</si>
  <si>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</si>
  <si>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</si>
  <si>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</si>
  <si>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</si>
  <si>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</si>
  <si>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</si>
  <si>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</si>
  <si>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</si>
  <si>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</si>
  <si>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</si>
  <si>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</si>
  <si>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</si>
  <si>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</si>
  <si>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</si>
  <si>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</si>
  <si>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</si>
  <si>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</si>
  <si>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</si>
  <si>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</si>
  <si>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</si>
  <si>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</si>
  <si>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</si>
  <si>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</si>
  <si>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</si>
  <si>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</si>
  <si>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</si>
  <si>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</si>
  <si>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</si>
  <si>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</si>
  <si>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</si>
  <si>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</si>
  <si>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</si>
  <si>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</si>
  <si>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</si>
  <si>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</si>
  <si>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</si>
  <si>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</si>
  <si>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</si>
  <si>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</si>
  <si>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</si>
  <si>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</si>
  <si>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</si>
  <si>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</si>
  <si>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</si>
  <si>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</si>
  <si>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</si>
  <si>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</si>
  <si>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</si>
  <si>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</si>
  <si>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</si>
  <si>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</si>
  <si>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</si>
  <si>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</si>
  <si>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</si>
  <si>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</si>
  <si>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</si>
  <si>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</si>
  <si>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</si>
  <si>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</si>
  <si>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</si>
  <si>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</si>
  <si>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</si>
  <si>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</si>
  <si>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</si>
  <si>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</si>
  <si>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</si>
  <si>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</si>
  <si>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</si>
  <si>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</si>
  <si>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</si>
  <si>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</si>
  <si>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</si>
  <si>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</si>
  <si>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</si>
  <si>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</si>
  <si>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</si>
  <si>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</si>
  <si>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</si>
  <si>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</si>
  <si>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</si>
  <si>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</si>
  <si>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</si>
  <si>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</si>
  <si>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</si>
  <si>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</si>
  <si>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</si>
  <si>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</si>
  <si>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</si>
  <si>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</si>
  <si>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</si>
  <si>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</si>
  <si>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</si>
  <si>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</si>
  <si>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</si>
  <si>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</si>
  <si>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</si>
  <si>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</si>
  <si>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</si>
  <si>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</si>
  <si>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</si>
  <si>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</si>
  <si>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</si>
  <si>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</si>
  <si>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</si>
  <si>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</si>
  <si>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</si>
  <si>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</si>
  <si>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</si>
  <si>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</si>
  <si>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</si>
  <si>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</si>
  <si>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</si>
  <si>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</si>
  <si>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</si>
  <si>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</si>
  <si>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</si>
  <si>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</si>
  <si>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</si>
  <si>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</si>
  <si>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</si>
  <si>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</si>
  <si>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</si>
  <si>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</si>
  <si>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</si>
  <si>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</si>
  <si>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</si>
  <si>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</si>
  <si>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</si>
  <si>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</si>
  <si>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</si>
  <si>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</si>
  <si>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</si>
  <si>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</si>
  <si>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</si>
  <si>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</si>
  <si>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</si>
  <si>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</si>
  <si>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</si>
  <si>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</si>
  <si>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</si>
  <si>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</si>
  <si>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</si>
  <si>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</si>
  <si>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</si>
  <si>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</si>
  <si>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</si>
  <si>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</si>
  <si>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</si>
  <si>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</si>
  <si>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</si>
  <si>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</si>
  <si>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</si>
  <si>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</si>
  <si>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</si>
  <si>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</si>
  <si>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</si>
  <si>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</si>
  <si>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</si>
  <si>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</si>
  <si>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</si>
  <si>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</si>
  <si>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</si>
  <si>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</si>
  <si>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</si>
  <si>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</si>
  <si>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</si>
  <si>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</si>
  <si>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</si>
  <si>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</si>
  <si>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</si>
  <si>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</si>
  <si>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</si>
  <si>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</si>
  <si>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</si>
  <si>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</si>
  <si>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</si>
  <si>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</si>
  <si>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</si>
  <si>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</si>
  <si>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</si>
  <si>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</si>
  <si>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</si>
  <si>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</si>
  <si>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</si>
  <si>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</si>
  <si>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</si>
  <si>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</si>
  <si>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</si>
  <si>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</si>
  <si>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</si>
  <si>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</si>
  <si>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</si>
  <si>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</si>
  <si>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</si>
  <si>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</si>
  <si>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</si>
  <si>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</si>
  <si>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</si>
  <si>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</si>
  <si>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</si>
  <si>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</si>
  <si>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</si>
  <si>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</si>
  <si>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</si>
  <si>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</si>
  <si>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</si>
  <si>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</si>
  <si>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</si>
  <si>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</si>
  <si>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</si>
  <si>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</si>
  <si>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</si>
  <si>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</si>
  <si>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</si>
  <si>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</si>
  <si>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</si>
  <si>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</si>
  <si>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</si>
  <si>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</si>
  <si>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</si>
  <si>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</si>
  <si>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</si>
  <si>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</si>
  <si>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</si>
  <si>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</si>
  <si>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</si>
  <si>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</si>
  <si>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</si>
  <si>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</si>
  <si>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</si>
  <si>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</si>
  <si>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</si>
  <si>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</si>
  <si>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</si>
  <si>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</si>
  <si>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</si>
  <si>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</si>
  <si>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</si>
  <si>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</si>
  <si>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</si>
  <si>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</si>
  <si>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</si>
  <si>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</si>
  <si>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</si>
  <si>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</si>
  <si>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</si>
  <si>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</si>
  <si>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</si>
  <si>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</si>
  <si>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</si>
  <si>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</si>
  <si>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</si>
  <si>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</si>
  <si>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</si>
  <si>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</si>
  <si>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</si>
  <si>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</si>
  <si>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</si>
  <si>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</si>
  <si>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</si>
  <si>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</si>
  <si>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</si>
  <si>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</si>
  <si>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</si>
  <si>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</si>
  <si>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</si>
  <si>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</si>
  <si>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</si>
  <si>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</si>
  <si>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</si>
  <si>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</si>
  <si>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</si>
  <si>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</si>
  <si>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</si>
  <si>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</si>
  <si>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</si>
  <si>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</si>
  <si>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</si>
  <si>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</si>
  <si>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</si>
  <si>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</si>
  <si>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</si>
  <si>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</si>
  <si>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</si>
  <si>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</si>
  <si>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</si>
  <si>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</si>
  <si>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</si>
  <si>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</si>
  <si>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</si>
  <si>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</si>
  <si>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</si>
  <si>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</si>
  <si>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</si>
  <si>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</si>
  <si>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</si>
  <si>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</si>
  <si>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</si>
  <si>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</si>
  <si>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</si>
  <si>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</si>
  <si>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</si>
  <si>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</si>
  <si>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</si>
  <si>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</si>
  <si>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</si>
  <si>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</si>
  <si>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</si>
  <si>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</si>
  <si>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</si>
  <si>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</si>
  <si>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</si>
  <si>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</si>
  <si>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</si>
  <si>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</si>
  <si>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</si>
  <si>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</si>
  <si>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</si>
  <si>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</si>
  <si>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</si>
  <si>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</si>
  <si>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</si>
  <si>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</si>
  <si>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</si>
  <si>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</si>
  <si>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</si>
  <si>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</si>
  <si>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</si>
  <si>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</si>
  <si>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</si>
  <si>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</si>
  <si>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</si>
  <si>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</si>
  <si>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</si>
  <si>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</si>
  <si>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</si>
  <si>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</si>
  <si>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</si>
  <si>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</si>
  <si>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</si>
  <si>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</si>
  <si>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</si>
  <si>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</si>
  <si>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</si>
  <si>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</si>
  <si>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</si>
  <si>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</si>
  <si>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</si>
  <si>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</si>
  <si>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</si>
  <si>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</si>
  <si>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</si>
  <si>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</si>
  <si>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</si>
  <si>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</si>
  <si>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</si>
  <si>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</si>
  <si>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</si>
  <si>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</si>
  <si>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</si>
  <si>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</si>
  <si>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</si>
  <si>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</si>
  <si>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</si>
  <si>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</si>
  <si>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</si>
  <si>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</si>
  <si>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</si>
  <si>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</si>
  <si>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</si>
  <si>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</si>
  <si>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</si>
  <si>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</si>
  <si>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</si>
  <si>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</si>
  <si>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</si>
  <si>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</si>
  <si>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</si>
  <si>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</si>
  <si>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</si>
  <si>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</si>
  <si>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</si>
  <si>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</si>
  <si>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</si>
  <si>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</si>
  <si>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</si>
  <si>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</si>
  <si>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</si>
  <si>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</si>
  <si>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</si>
  <si>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</si>
  <si>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</si>
  <si>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</si>
  <si>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</si>
  <si>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</si>
  <si>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</si>
  <si>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</si>
  <si>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</si>
  <si>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</si>
  <si>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</si>
  <si>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</si>
  <si>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</si>
  <si>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</si>
  <si>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</si>
  <si>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</si>
  <si>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</si>
  <si>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</si>
  <si>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</si>
  <si>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</si>
  <si>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</si>
  <si>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</si>
  <si>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</si>
  <si>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</si>
  <si>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</si>
  <si>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</si>
  <si>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</si>
  <si>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</si>
  <si>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</si>
  <si>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</si>
  <si>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</si>
  <si>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</si>
  <si>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</si>
  <si>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</si>
  <si>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</si>
  <si>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</si>
  <si>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</si>
  <si>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</si>
  <si>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</si>
  <si>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</si>
  <si>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</si>
  <si>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</si>
  <si>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</si>
  <si>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</si>
  <si>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</si>
  <si>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</si>
  <si>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</si>
  <si>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</si>
  <si>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</si>
  <si>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</si>
  <si>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</si>
  <si>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</si>
  <si>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</si>
  <si>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</si>
  <si>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</si>
  <si>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</si>
  <si>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</si>
  <si>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</si>
  <si>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</si>
  <si>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</si>
  <si>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</si>
  <si>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</si>
  <si>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</si>
  <si>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</si>
  <si>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</si>
  <si>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</si>
  <si>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</si>
  <si>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</si>
  <si>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</si>
  <si>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</si>
  <si>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</si>
  <si>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</si>
  <si>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</si>
  <si>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</si>
  <si>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</si>
  <si>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</si>
  <si>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</si>
  <si>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</si>
  <si>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</si>
  <si>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</si>
  <si>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</si>
  <si>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</si>
  <si>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</si>
  <si>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</si>
  <si>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</si>
  <si>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</si>
  <si>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</si>
  <si>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</si>
  <si>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</si>
  <si>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</si>
  <si>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</si>
  <si>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</si>
  <si>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</si>
  <si>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</si>
  <si>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</si>
  <si>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</si>
  <si>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</si>
  <si>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</si>
  <si>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</si>
  <si>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</si>
  <si>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</si>
  <si>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</si>
  <si>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</si>
  <si>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</si>
  <si>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</si>
  <si>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</si>
  <si>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</si>
  <si>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</si>
  <si>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</si>
  <si>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</si>
  <si>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</si>
  <si>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</si>
  <si>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</si>
  <si>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</si>
  <si>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</si>
  <si>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</si>
  <si>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</si>
  <si>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</si>
  <si>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</si>
  <si>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</si>
  <si>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</si>
  <si>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</si>
  <si>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</si>
  <si>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</si>
  <si>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</si>
  <si>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</si>
  <si>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</si>
  <si>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</si>
  <si>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</si>
  <si>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</si>
  <si>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</si>
  <si>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</si>
  <si>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</si>
  <si>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</si>
  <si>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</si>
  <si>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</si>
  <si>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</si>
  <si>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</si>
  <si>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</si>
  <si>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</si>
  <si>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</si>
  <si>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</si>
  <si>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</si>
  <si>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</si>
  <si>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</si>
  <si>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</si>
  <si>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</si>
  <si>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</si>
  <si>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</si>
  <si>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</si>
  <si>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</si>
  <si>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</si>
  <si>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</si>
  <si>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</si>
  <si>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</si>
  <si>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</si>
  <si>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</si>
  <si>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</si>
  <si>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</si>
  <si>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</si>
  <si>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</si>
  <si>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</si>
  <si>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</si>
  <si>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</si>
  <si>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</si>
  <si>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</si>
  <si>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</si>
  <si>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</si>
  <si>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</si>
  <si>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</si>
  <si>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</si>
  <si>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</si>
  <si>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</si>
  <si>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</si>
  <si>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</si>
  <si>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</si>
  <si>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</si>
  <si>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</si>
  <si>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</si>
  <si>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</si>
  <si>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</si>
  <si>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</si>
  <si>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</si>
  <si>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</si>
  <si>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</si>
  <si>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</si>
  <si>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</si>
  <si>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</si>
  <si>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</si>
  <si>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</si>
  <si>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</si>
  <si>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</si>
  <si>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</si>
  <si>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</si>
  <si>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</si>
  <si>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</si>
  <si>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</si>
  <si>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</si>
  <si>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</si>
  <si>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</si>
  <si>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</si>
  <si>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</si>
  <si>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</si>
  <si>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</si>
  <si>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</si>
  <si>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</si>
  <si>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</si>
  <si>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</si>
  <si>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</si>
  <si>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</si>
  <si>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</si>
  <si>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</si>
  <si>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</si>
  <si>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</si>
  <si>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</si>
  <si>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</si>
  <si>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</si>
  <si>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</si>
  <si>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</si>
  <si>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</si>
  <si>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</si>
  <si>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</si>
  <si>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</si>
  <si>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</si>
  <si>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</si>
  <si>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</si>
  <si>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</si>
  <si>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</si>
  <si>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</si>
  <si>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</si>
  <si>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</si>
  <si>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</si>
  <si>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</si>
  <si>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</si>
  <si>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</si>
  <si>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</si>
  <si>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</si>
  <si>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</si>
  <si>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</si>
  <si>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</si>
  <si>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</si>
  <si>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</si>
  <si>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</si>
  <si>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</si>
  <si>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</si>
  <si>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</si>
  <si>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</si>
  <si>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</si>
  <si>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</si>
  <si>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</si>
  <si>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</si>
  <si>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</si>
  <si>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</si>
  <si>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</si>
  <si>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</si>
  <si>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</si>
  <si>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</si>
  <si>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</si>
  <si>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</si>
  <si>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</si>
  <si>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</si>
  <si>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</si>
  <si>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</si>
  <si>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</si>
  <si>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</si>
  <si>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</si>
  <si>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</si>
  <si>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</si>
  <si>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</si>
  <si>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</si>
  <si>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</si>
  <si>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</si>
  <si>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</si>
  <si>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</si>
  <si>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</si>
  <si>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</si>
  <si>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</si>
  <si>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</si>
  <si>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</si>
  <si>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</si>
  <si>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</si>
  <si>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</si>
  <si>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</si>
  <si>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</si>
  <si>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</si>
  <si>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</si>
  <si>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</si>
  <si>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</si>
  <si>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</si>
  <si>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</si>
  <si>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</si>
  <si>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</si>
  <si>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</si>
  <si>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</si>
  <si>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</si>
  <si>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</si>
  <si>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</si>
  <si>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</si>
  <si>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</si>
  <si>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</si>
  <si>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</si>
  <si>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</si>
  <si>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</si>
  <si>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</si>
  <si>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</si>
  <si>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</si>
  <si>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</si>
  <si>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</si>
  <si>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</si>
  <si>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</si>
  <si>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</si>
  <si>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</si>
  <si>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</si>
  <si>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</si>
  <si>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</si>
  <si>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</si>
  <si>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</si>
  <si>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</si>
  <si>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</si>
  <si>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</si>
  <si>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</si>
  <si>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</si>
  <si>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</si>
  <si>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</si>
  <si>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</si>
  <si>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</si>
  <si>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</si>
  <si>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</si>
  <si>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</si>
  <si>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</si>
  <si>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</si>
  <si>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</si>
  <si>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</si>
  <si>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</si>
  <si>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</si>
  <si>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</si>
  <si>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</si>
  <si>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</si>
  <si>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</si>
  <si>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</si>
  <si>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</si>
  <si>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</si>
  <si>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</si>
  <si>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</si>
  <si>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</si>
  <si>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</si>
  <si>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</si>
  <si>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</si>
  <si>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</si>
  <si>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</si>
  <si>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</si>
  <si>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</si>
  <si>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</si>
  <si>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</si>
  <si>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</si>
  <si>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</si>
  <si>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</si>
  <si>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</si>
  <si>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</si>
  <si>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</si>
  <si>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</si>
  <si>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</si>
  <si>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</si>
  <si>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</si>
  <si>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</si>
  <si>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</si>
  <si>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</si>
  <si>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</si>
  <si>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</si>
  <si>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</si>
  <si>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</si>
  <si>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</si>
  <si>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</si>
  <si>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</si>
  <si>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</si>
  <si>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</si>
  <si>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</si>
  <si>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</si>
  <si>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</si>
  <si>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</si>
  <si>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</si>
  <si>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</si>
  <si>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</si>
  <si>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</si>
  <si>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</si>
  <si>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</si>
  <si>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</si>
  <si>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</si>
  <si>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</si>
  <si>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</si>
  <si>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</si>
  <si>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</si>
  <si>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</si>
  <si>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</si>
  <si>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</si>
  <si>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</si>
  <si>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</si>
  <si>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</si>
  <si>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</si>
  <si>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</si>
  <si>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</si>
  <si>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</si>
  <si>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</si>
  <si>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</si>
  <si>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</si>
  <si>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</si>
  <si>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</si>
  <si>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</si>
  <si>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</si>
  <si>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</si>
  <si>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</si>
  <si>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</si>
  <si>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</si>
  <si>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</si>
  <si>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</si>
  <si>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</si>
  <si>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</si>
  <si>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</si>
  <si>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</si>
  <si>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</si>
  <si>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</si>
  <si>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</si>
  <si>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</si>
  <si>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</si>
  <si>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</si>
  <si>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</si>
  <si>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</si>
  <si>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</si>
  <si>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</si>
  <si>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</si>
  <si>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</si>
  <si>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</si>
  <si>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</si>
  <si>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</si>
  <si>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</si>
  <si>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</si>
  <si>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</si>
  <si>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</si>
  <si>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</si>
  <si>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</si>
  <si>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</si>
  <si>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</si>
  <si>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</si>
  <si>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</si>
  <si>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</si>
  <si>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</si>
  <si>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</si>
  <si>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</si>
  <si>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</si>
  <si>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</si>
  <si>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</si>
  <si>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</si>
  <si>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</si>
  <si>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</si>
  <si>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</si>
  <si>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</si>
  <si>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</si>
  <si>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</si>
  <si>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</si>
  <si>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</si>
  <si>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</si>
  <si>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</si>
  <si>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</si>
  <si>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</si>
  <si>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</si>
  <si>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</si>
  <si>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</si>
  <si>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</si>
  <si>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</si>
  <si>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</si>
  <si>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</si>
  <si>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</si>
  <si>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</si>
  <si>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</si>
  <si>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</si>
  <si>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</si>
  <si>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</si>
  <si>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</si>
  <si>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</si>
  <si>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</si>
  <si>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</si>
  <si>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</si>
  <si>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</si>
  <si>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</si>
  <si>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</si>
  <si>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</si>
  <si>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</si>
  <si>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</si>
  <si>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</si>
  <si>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</si>
  <si>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</si>
  <si>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</si>
  <si>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</si>
  <si>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</si>
  <si>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</si>
  <si>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</si>
  <si>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</si>
  <si>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</si>
  <si>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</si>
  <si>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</si>
  <si>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</si>
  <si>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</si>
  <si>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</si>
  <si>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</si>
  <si>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</si>
  <si>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</si>
  <si>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</si>
  <si>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</si>
  <si>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</si>
  <si>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</si>
  <si>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</si>
  <si>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</si>
  <si>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</si>
  <si>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</si>
  <si>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</si>
  <si>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</si>
  <si>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</si>
  <si>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</si>
  <si>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</si>
  <si>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</si>
  <si>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</si>
  <si>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</si>
  <si>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</si>
  <si>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</si>
  <si>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</si>
  <si>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</si>
  <si>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</si>
  <si>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</si>
  <si>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</si>
  <si>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</si>
  <si>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</si>
  <si>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</si>
  <si>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</si>
  <si>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</si>
  <si>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</si>
  <si>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</si>
  <si>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</si>
  <si>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</si>
  <si>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</si>
  <si>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</si>
  <si>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</si>
  <si>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</si>
  <si>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</si>
  <si>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</si>
  <si>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</si>
  <si>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</si>
  <si>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</si>
  <si>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</si>
  <si>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</si>
  <si>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</si>
  <si>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</si>
  <si>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</si>
  <si>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</si>
  <si>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</si>
  <si>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</si>
  <si>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</si>
  <si>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</si>
  <si>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</si>
  <si>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</si>
  <si>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</si>
  <si>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</si>
  <si>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</si>
  <si>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</si>
  <si>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</si>
  <si>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</si>
  <si>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</si>
  <si>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</si>
  <si>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</si>
  <si>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</si>
  <si>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</si>
  <si>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</si>
  <si>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</si>
  <si>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</si>
  <si>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</si>
  <si>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</si>
  <si>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</si>
  <si>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</si>
  <si>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</si>
  <si>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</si>
  <si>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</si>
  <si>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</si>
  <si>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</si>
  <si>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</si>
  <si>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</si>
  <si>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</si>
  <si>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</si>
  <si>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</si>
  <si>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</si>
  <si>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</si>
  <si>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</si>
  <si>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</si>
  <si>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</si>
  <si>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</si>
  <si>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</si>
  <si>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</si>
  <si>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</si>
  <si>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</si>
  <si>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</si>
  <si>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</si>
  <si>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</si>
  <si>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</si>
  <si>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</si>
  <si>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</si>
  <si>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</si>
  <si>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</si>
  <si>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</si>
  <si>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</si>
  <si>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</si>
  <si>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</si>
  <si>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</si>
  <si>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</si>
  <si>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</si>
  <si>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</si>
  <si>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</si>
  <si>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</si>
  <si>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</si>
  <si>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</si>
  <si>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</si>
  <si>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</si>
  <si>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</si>
  <si>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</si>
  <si>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</si>
  <si>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</si>
  <si>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</si>
  <si>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</si>
  <si>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</si>
  <si>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</si>
  <si>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</si>
  <si>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</si>
  <si>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</si>
  <si>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</si>
  <si>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</si>
  <si>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</si>
  <si>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</si>
  <si>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</si>
  <si>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</si>
  <si>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</si>
  <si>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</si>
  <si>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</si>
  <si>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</si>
  <si>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</si>
  <si>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</si>
  <si>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</si>
  <si>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</si>
  <si>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</si>
  <si>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</si>
  <si>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</si>
  <si>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</si>
  <si>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</si>
  <si>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</si>
  <si>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</si>
  <si>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</si>
  <si>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</si>
  <si>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</si>
  <si>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</si>
  <si>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</si>
  <si>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</si>
  <si>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</si>
  <si>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</si>
  <si>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</si>
  <si>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</si>
  <si>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</si>
  <si>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</si>
  <si>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</si>
  <si>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</si>
  <si>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</si>
  <si>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</si>
  <si>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</si>
  <si>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</si>
  <si>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</si>
  <si>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</si>
  <si>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</si>
  <si>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</si>
  <si>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</si>
  <si>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</si>
  <si>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</si>
  <si>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</si>
  <si>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</si>
  <si>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</si>
  <si>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</si>
  <si>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</si>
  <si>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</si>
  <si>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</si>
  <si>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</si>
  <si>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</si>
  <si>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</si>
  <si>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</si>
  <si>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</si>
  <si>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</si>
  <si>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</si>
  <si>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</si>
  <si>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</si>
  <si>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</si>
  <si>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</si>
  <si>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</si>
  <si>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</si>
  <si>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</si>
  <si>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</si>
  <si>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</si>
  <si>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</si>
  <si>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</si>
  <si>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</si>
  <si>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</si>
  <si>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</si>
  <si>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</si>
  <si>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</si>
  <si>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</si>
  <si>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</si>
  <si>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</si>
  <si>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</si>
  <si>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</si>
  <si>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</si>
  <si>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</si>
  <si>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</si>
  <si>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</si>
  <si>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</si>
  <si>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</si>
  <si>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</si>
  <si>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</si>
  <si>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</si>
  <si>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</si>
  <si>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</si>
  <si>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</si>
  <si>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</si>
  <si>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</si>
  <si>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</si>
  <si>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</si>
  <si>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</si>
  <si>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</si>
  <si>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</si>
  <si>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</si>
  <si>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</si>
  <si>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</si>
  <si>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</si>
  <si>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</si>
  <si>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</si>
  <si>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</si>
  <si>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</si>
  <si>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</si>
  <si>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</si>
  <si>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</si>
  <si>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</si>
  <si>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</si>
  <si>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</si>
  <si>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</si>
  <si>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</si>
  <si>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</si>
  <si>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</si>
  <si>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</si>
  <si>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</si>
  <si>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</si>
  <si>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</si>
  <si>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</si>
  <si>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</si>
  <si>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</si>
  <si>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</si>
  <si>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</si>
  <si>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</si>
  <si>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</si>
  <si>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</si>
  <si>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</si>
  <si>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</si>
  <si>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</si>
  <si>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</si>
  <si>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</si>
  <si>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</si>
  <si>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</si>
  <si>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</si>
  <si>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</si>
  <si>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</si>
  <si>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</si>
  <si>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</si>
  <si>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</si>
  <si>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</si>
  <si>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</si>
  <si>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</si>
  <si>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</si>
  <si>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</si>
  <si>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</si>
  <si>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</si>
  <si>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</si>
  <si>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</si>
  <si>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</si>
  <si>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</si>
  <si>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</si>
  <si>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</si>
  <si>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</si>
  <si>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</si>
  <si>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</si>
  <si>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</si>
  <si>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</si>
  <si>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</si>
  <si>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</si>
  <si>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</si>
  <si>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</si>
  <si>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</si>
  <si>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</si>
  <si>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</si>
  <si>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</si>
  <si>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</si>
  <si>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</si>
  <si>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</si>
  <si>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</si>
  <si>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</si>
  <si>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</si>
  <si>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</si>
  <si>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</si>
  <si>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</si>
  <si>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</si>
  <si>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</si>
  <si>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</si>
  <si>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</si>
  <si>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</si>
  <si>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</si>
  <si>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</si>
  <si>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</si>
  <si>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</si>
  <si>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</si>
  <si>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</si>
  <si>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</si>
  <si>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</si>
  <si>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</si>
  <si>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</si>
  <si>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</si>
  <si>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</si>
  <si>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</si>
  <si>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</si>
  <si>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</si>
  <si>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</si>
  <si>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</si>
  <si>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</si>
  <si>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</si>
  <si>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</si>
  <si>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</si>
  <si>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</si>
  <si>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</si>
  <si>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</si>
  <si>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</si>
  <si>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</si>
  <si>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</si>
  <si>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</si>
  <si>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</si>
  <si>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</si>
  <si>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</si>
  <si>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</si>
  <si>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</si>
  <si>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</si>
  <si>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</si>
  <si>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</si>
  <si>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</si>
  <si>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</si>
  <si>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</si>
  <si>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</si>
  <si>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</si>
  <si>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</si>
  <si>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</si>
  <si>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</si>
  <si>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</si>
  <si>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</si>
  <si>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</si>
  <si>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</si>
  <si>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</si>
  <si>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</si>
  <si>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</si>
  <si>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</si>
  <si>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</si>
  <si>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</si>
  <si>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</si>
  <si>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</si>
  <si>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</si>
  <si>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</si>
  <si>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</si>
  <si>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</si>
  <si>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</si>
  <si>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</si>
  <si>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</si>
  <si>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</si>
  <si>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</si>
  <si>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</si>
  <si>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</si>
  <si>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</si>
  <si>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</si>
  <si>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</si>
  <si>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</si>
  <si>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</si>
  <si>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</si>
  <si>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</si>
  <si>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</si>
  <si>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</si>
  <si>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</si>
  <si>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</si>
  <si>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</si>
  <si>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</si>
  <si>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</si>
  <si>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</si>
  <si>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</si>
  <si>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</si>
  <si>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</si>
  <si>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</si>
  <si>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</si>
  <si>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</si>
  <si>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</si>
  <si>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</si>
  <si>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</si>
  <si>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</si>
  <si>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</si>
  <si>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</si>
  <si>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</si>
  <si>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</si>
  <si>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</si>
  <si>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</si>
  <si>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</si>
  <si>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</si>
  <si>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</si>
  <si>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</si>
  <si>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</si>
  <si>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</si>
  <si>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</si>
  <si>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</si>
  <si>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</si>
  <si>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</si>
  <si>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</si>
  <si>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</si>
  <si>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</si>
  <si>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</si>
  <si>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</si>
  <si>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</si>
  <si>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</si>
  <si>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</si>
  <si>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</si>
  <si>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</si>
  <si>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</si>
  <si>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</si>
  <si>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</si>
  <si>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</si>
  <si>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</si>
  <si>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</si>
  <si>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</si>
  <si>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</si>
  <si>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</si>
  <si>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</si>
  <si>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</si>
  <si>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</si>
  <si>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</si>
  <si>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</si>
  <si>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</si>
  <si>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</si>
  <si>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</si>
  <si>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</si>
  <si>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</si>
  <si>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</si>
  <si>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</si>
  <si>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</si>
  <si>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</si>
  <si>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</si>
  <si>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</si>
  <si>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</si>
  <si>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</si>
  <si>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</si>
  <si>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</si>
  <si>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</si>
  <si>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</si>
  <si>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</si>
  <si>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</si>
  <si>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</si>
  <si>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</si>
  <si>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</si>
  <si>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</si>
  <si>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</si>
  <si>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</si>
  <si>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</si>
  <si>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</si>
  <si>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</si>
  <si>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</si>
  <si>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</si>
  <si>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</si>
  <si>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</si>
  <si>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</si>
  <si>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</si>
  <si>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</si>
  <si>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</si>
  <si>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</si>
  <si>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</si>
  <si>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</si>
  <si>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</si>
  <si>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</si>
  <si>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</si>
  <si>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</si>
  <si>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</si>
  <si>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</si>
  <si>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</si>
  <si>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</si>
  <si>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</si>
  <si>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</si>
  <si>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</si>
  <si>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</si>
  <si>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</si>
  <si>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</si>
  <si>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</si>
  <si>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</si>
  <si>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</si>
  <si>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</si>
  <si>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</si>
  <si>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</si>
  <si>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</si>
  <si>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</si>
  <si>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</si>
  <si>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</si>
  <si>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</si>
  <si>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</si>
  <si>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</si>
  <si>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</si>
  <si>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</si>
  <si>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</si>
  <si>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</si>
  <si>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</si>
  <si>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</si>
  <si>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</si>
  <si>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</si>
  <si>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</si>
  <si>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</si>
  <si>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</si>
  <si>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</si>
  <si>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</si>
  <si>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</si>
  <si>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</si>
  <si>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</si>
  <si>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</si>
  <si>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</si>
  <si>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</si>
  <si>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</si>
  <si>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</si>
  <si>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</si>
  <si>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</si>
  <si>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</si>
  <si>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</si>
  <si>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</si>
  <si>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</si>
  <si>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</si>
  <si>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</si>
  <si>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</si>
  <si>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</si>
  <si>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</si>
  <si>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</si>
  <si>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</si>
  <si>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</si>
  <si>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</si>
  <si>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</si>
  <si>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</si>
  <si>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</si>
  <si>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</si>
  <si>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</si>
  <si>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</si>
  <si>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</si>
  <si>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</si>
  <si>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</si>
  <si>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</si>
  <si>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</si>
  <si>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</si>
  <si>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</si>
  <si>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</si>
  <si>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</si>
  <si>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</si>
  <si>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</si>
  <si>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</si>
  <si>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</si>
  <si>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</si>
  <si>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</si>
  <si>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</si>
  <si>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</si>
  <si>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</si>
  <si>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</si>
  <si>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</si>
  <si>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</si>
  <si>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</si>
  <si>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</si>
  <si>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</si>
  <si>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</si>
  <si>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</si>
  <si>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</si>
  <si>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</si>
  <si>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</si>
  <si>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</si>
  <si>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</si>
  <si>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</si>
  <si>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</si>
  <si>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</si>
  <si>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</si>
  <si>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</si>
  <si>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</si>
  <si>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</si>
  <si>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</si>
  <si>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</si>
  <si>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</si>
  <si>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</si>
  <si>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</si>
  <si>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</si>
  <si>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</si>
  <si>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</si>
  <si>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</si>
  <si>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</si>
  <si>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</si>
  <si>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</si>
  <si>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</si>
  <si>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</si>
  <si>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</si>
  <si>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</si>
  <si>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</si>
  <si>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</si>
  <si>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</si>
  <si>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</si>
  <si>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</si>
  <si>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</si>
  <si>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</si>
  <si>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</si>
  <si>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</si>
  <si>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</si>
  <si>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</si>
  <si>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</si>
  <si>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</si>
  <si>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</si>
  <si>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</si>
  <si>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</si>
  <si>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</si>
  <si>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</si>
  <si>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</si>
  <si>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</si>
  <si>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</si>
  <si>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</si>
  <si>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</si>
  <si>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</si>
  <si>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</si>
  <si>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</si>
  <si>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</si>
  <si>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</si>
  <si>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</si>
  <si>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</si>
  <si>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</si>
  <si>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</si>
  <si>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</si>
  <si>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</si>
  <si>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</si>
  <si>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</si>
  <si>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</si>
  <si>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</si>
  <si>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</si>
  <si>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</si>
  <si>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</si>
  <si>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</si>
  <si>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</si>
  <si>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</si>
  <si>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</si>
  <si>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</si>
  <si>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</si>
  <si>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</si>
  <si>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</si>
  <si>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</si>
  <si>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</si>
  <si>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</si>
  <si>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</si>
  <si>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</si>
  <si>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</si>
  <si>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</si>
  <si>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</si>
  <si>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</si>
  <si>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</si>
  <si>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</si>
  <si>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</si>
  <si>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</si>
  <si>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</si>
  <si>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</si>
  <si>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</si>
  <si>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</si>
  <si>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</si>
  <si>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</si>
  <si>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</si>
  <si>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</si>
  <si>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</si>
  <si>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</si>
  <si>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</si>
  <si>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</si>
  <si>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</si>
  <si>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</si>
  <si>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</si>
  <si>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</si>
  <si>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</si>
  <si>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</si>
  <si>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</si>
  <si>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</si>
  <si>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</si>
  <si>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</si>
  <si>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</si>
  <si>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</si>
  <si>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</si>
  <si>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</si>
  <si>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</si>
  <si>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</si>
  <si>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</si>
  <si>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</si>
  <si>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</si>
  <si>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</si>
  <si>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</si>
  <si>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</si>
  <si>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</si>
  <si>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</si>
  <si>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</si>
  <si>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</si>
  <si>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</si>
  <si>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</si>
  <si>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</si>
  <si>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</si>
  <si>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</si>
  <si>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</si>
  <si>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</si>
  <si>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</si>
  <si>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</si>
  <si>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</si>
  <si>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</si>
  <si>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</si>
  <si>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</si>
  <si>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</si>
  <si>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</si>
  <si>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</si>
  <si>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</si>
  <si>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</si>
  <si>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</si>
  <si>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</si>
  <si>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</si>
  <si>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</si>
  <si>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</si>
  <si>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</si>
  <si>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</si>
  <si>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</si>
  <si>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</si>
  <si>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</si>
  <si>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</si>
  <si>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</si>
  <si>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</si>
  <si>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</si>
  <si>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</si>
  <si>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</si>
  <si>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</si>
  <si>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</si>
  <si>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</si>
  <si>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</si>
  <si>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</si>
  <si>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</si>
  <si>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</si>
  <si>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</si>
  <si>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</si>
  <si>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</si>
  <si>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</si>
  <si>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</si>
  <si>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</si>
  <si>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</si>
  <si>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</si>
  <si>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</si>
  <si>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</si>
  <si>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</si>
  <si>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</si>
  <si>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</si>
  <si>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</si>
  <si>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</si>
  <si>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</si>
  <si>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</si>
  <si>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</si>
  <si>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</si>
  <si>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</si>
  <si>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</si>
  <si>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</si>
  <si>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</si>
  <si>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</si>
  <si>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</si>
  <si>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</si>
  <si>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</si>
  <si>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</si>
  <si>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</si>
  <si>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</si>
  <si>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</si>
  <si>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</si>
  <si>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</si>
  <si>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</si>
  <si>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</si>
  <si>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</si>
  <si>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</si>
  <si>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</si>
  <si>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</si>
  <si>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</si>
  <si>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</si>
  <si>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</si>
  <si>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</si>
  <si>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</si>
  <si>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</si>
  <si>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</si>
  <si>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</si>
  <si>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</si>
  <si>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</si>
  <si>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</si>
  <si>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</si>
  <si>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</si>
  <si>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</si>
  <si>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</si>
  <si>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</si>
  <si>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</si>
  <si>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</si>
  <si>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</si>
  <si>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</si>
  <si>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</si>
  <si>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</si>
  <si>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</si>
  <si>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</si>
  <si>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</si>
  <si>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</si>
  <si>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</si>
  <si>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</si>
  <si>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</si>
  <si>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</si>
  <si>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</si>
  <si>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</si>
  <si>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</si>
  <si>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</si>
  <si>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</si>
  <si>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</si>
  <si>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</si>
  <si>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</si>
  <si>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</si>
  <si>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</si>
  <si>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</si>
  <si>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</si>
  <si>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</si>
  <si>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</si>
  <si>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</si>
  <si>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</si>
  <si>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</si>
  <si>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</si>
  <si>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</si>
  <si>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</si>
  <si>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</si>
  <si>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</si>
  <si>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</si>
  <si>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</si>
  <si>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</si>
  <si>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</si>
  <si>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</si>
  <si>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</si>
  <si>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</si>
  <si>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</si>
  <si>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</si>
  <si>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</si>
  <si>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</si>
  <si>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</si>
  <si>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</si>
  <si>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</si>
  <si>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</si>
  <si>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</si>
  <si>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</si>
  <si>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</si>
  <si>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</si>
  <si>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</si>
  <si>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</si>
  <si>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</si>
  <si>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</si>
  <si>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</si>
  <si>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</si>
  <si>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</si>
  <si>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</si>
  <si>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</si>
  <si>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</si>
  <si>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</si>
  <si>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</si>
  <si>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</si>
  <si>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</si>
  <si>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</si>
  <si>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</si>
  <si>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</si>
  <si>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</si>
  <si>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</si>
  <si>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</si>
  <si>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</si>
  <si>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</si>
  <si>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</si>
  <si>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</si>
  <si>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</si>
  <si>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</si>
  <si>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</si>
  <si>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</si>
  <si>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</si>
  <si>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</si>
  <si>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</si>
  <si>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</si>
  <si>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</si>
  <si>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</si>
  <si>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</si>
  <si>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</si>
  <si>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</si>
  <si>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</si>
  <si>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</si>
  <si>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</si>
  <si>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</si>
  <si>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</si>
  <si>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</si>
  <si>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</si>
  <si>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</si>
  <si>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</si>
  <si>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</si>
  <si>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</si>
  <si>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</si>
  <si>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</si>
  <si>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</si>
  <si>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</si>
  <si>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</si>
  <si>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</si>
  <si>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</si>
  <si>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</si>
  <si>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</si>
  <si>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</si>
  <si>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</si>
  <si>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</si>
  <si>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</si>
  <si>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</si>
  <si>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</si>
  <si>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</si>
  <si>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</si>
  <si>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</si>
  <si>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</si>
  <si>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</si>
  <si>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</si>
  <si>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</si>
  <si>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</si>
  <si>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</si>
  <si>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</si>
  <si>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</si>
  <si>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</si>
  <si>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</si>
  <si>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</si>
  <si>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</si>
  <si>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</si>
  <si>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</si>
  <si>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</si>
  <si>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</si>
  <si>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</si>
  <si>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</si>
  <si>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</si>
  <si>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</si>
  <si>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</si>
  <si>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</si>
  <si>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</si>
  <si>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</si>
  <si>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</si>
  <si>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</si>
  <si>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</si>
  <si>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</si>
  <si>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</si>
  <si>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</si>
  <si>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</si>
  <si>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</si>
  <si>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</si>
  <si>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</si>
  <si>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</si>
  <si>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</si>
  <si>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</si>
  <si>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</si>
  <si>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</si>
  <si>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</si>
  <si>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</si>
  <si>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</si>
  <si>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</si>
  <si>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</si>
  <si>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</si>
  <si>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</si>
  <si>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</si>
  <si>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</si>
  <si>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</si>
  <si>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</si>
  <si>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</si>
  <si>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</si>
  <si>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</si>
  <si>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</si>
  <si>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</si>
  <si>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</si>
  <si>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</si>
  <si>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</si>
  <si>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</si>
  <si>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</si>
  <si>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</si>
  <si>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</si>
  <si>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</si>
  <si>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</si>
  <si>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</si>
  <si>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</si>
  <si>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</si>
  <si>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</si>
  <si>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</si>
  <si>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</si>
  <si>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</si>
  <si>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</si>
  <si>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</si>
  <si>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</si>
  <si>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</si>
  <si>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</si>
  <si>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</si>
  <si>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</si>
  <si>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</si>
  <si>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</si>
  <si>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</si>
  <si>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</si>
  <si>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</si>
  <si>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</si>
  <si>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</si>
  <si>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</si>
  <si>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</si>
  <si>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</si>
  <si>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</si>
  <si>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</si>
  <si>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</si>
  <si>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</si>
  <si>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</si>
  <si>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</si>
  <si>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</si>
  <si>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</si>
  <si>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</si>
  <si>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</si>
  <si>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</si>
  <si>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</si>
  <si>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</si>
  <si>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</si>
  <si>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</si>
  <si>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</si>
  <si>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</si>
  <si>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</si>
  <si>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</si>
  <si>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</si>
  <si>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</si>
  <si>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</si>
  <si>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</si>
  <si>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</si>
  <si>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</si>
  <si>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</si>
  <si>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</si>
  <si>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</si>
  <si>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</si>
  <si>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</si>
  <si>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</si>
  <si>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</si>
  <si>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</si>
  <si>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</si>
  <si>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</si>
  <si>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</si>
  <si>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</si>
  <si>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</si>
  <si>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</si>
  <si>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</si>
  <si>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</si>
  <si>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</si>
  <si>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</si>
  <si>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</si>
  <si>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</si>
  <si>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</si>
  <si>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</si>
  <si>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</si>
  <si>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</si>
  <si>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</si>
  <si>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</si>
  <si>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</si>
  <si>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</si>
  <si>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</si>
  <si>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</si>
  <si>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</si>
  <si>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</si>
  <si>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</si>
  <si>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</si>
  <si>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</si>
  <si>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</si>
  <si>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</si>
  <si>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</si>
  <si>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</si>
  <si>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</si>
  <si>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</si>
  <si>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</si>
  <si>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</si>
  <si>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</si>
  <si>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</si>
  <si>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</si>
  <si>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</si>
  <si>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</si>
  <si>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</si>
  <si>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</si>
  <si>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</si>
  <si>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</si>
  <si>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</si>
  <si>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</si>
  <si>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</si>
  <si>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</si>
  <si>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</si>
  <si>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</si>
  <si>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</si>
  <si>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</si>
  <si>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</si>
  <si>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</si>
  <si>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</si>
  <si>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</si>
  <si>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</si>
  <si>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</si>
  <si>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</si>
  <si>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</si>
  <si>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</si>
  <si>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</si>
  <si>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</si>
  <si>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</si>
  <si>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</si>
  <si>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</si>
  <si>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</si>
  <si>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</si>
  <si>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</si>
  <si>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</si>
  <si>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</si>
  <si>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</si>
  <si>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</si>
  <si>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</si>
  <si>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</si>
  <si>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</si>
  <si>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</si>
  <si>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</si>
  <si>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</si>
  <si>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</si>
  <si>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</si>
  <si>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</si>
  <si>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</si>
  <si>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</si>
  <si>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</si>
  <si>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</si>
  <si>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</si>
  <si>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</si>
  <si>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</si>
  <si>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</si>
  <si>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</si>
  <si>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</si>
  <si>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</si>
  <si>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</si>
  <si>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</si>
  <si>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</si>
  <si>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</si>
  <si>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</si>
  <si>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</si>
  <si>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</si>
  <si>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</si>
  <si>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</si>
  <si>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</si>
  <si>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</si>
  <si>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</si>
  <si>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</si>
  <si>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</si>
  <si>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</si>
  <si>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</si>
  <si>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</si>
  <si>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</si>
  <si>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</si>
  <si>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</si>
  <si>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</si>
  <si>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</si>
  <si>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</si>
  <si>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</si>
  <si>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</si>
  <si>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</si>
  <si>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</si>
  <si>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</si>
  <si>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</si>
  <si>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</si>
  <si>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</si>
  <si>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</si>
  <si>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</si>
  <si>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</si>
  <si>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</si>
  <si>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</si>
  <si>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</si>
  <si>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</si>
  <si>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</si>
  <si>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</si>
  <si>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</si>
  <si>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</si>
  <si>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</si>
  <si>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</si>
  <si>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</si>
  <si>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</si>
  <si>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</si>
  <si>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</si>
  <si>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</si>
  <si>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</si>
  <si>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</si>
  <si>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</si>
  <si>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</si>
  <si>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</si>
  <si>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</si>
  <si>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</si>
  <si>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</si>
  <si>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</si>
  <si>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</si>
  <si>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</si>
  <si>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</si>
  <si>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</si>
  <si>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</si>
  <si>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</si>
  <si>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</si>
  <si>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</si>
  <si>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</si>
  <si>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</si>
  <si>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</si>
  <si>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</si>
  <si>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</si>
  <si>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</si>
  <si>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</si>
  <si>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</si>
  <si>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</si>
  <si>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</si>
  <si>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</si>
  <si>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</si>
  <si>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</si>
  <si>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</si>
  <si>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</si>
  <si>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</si>
  <si>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</si>
  <si>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</si>
  <si>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</si>
  <si>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</si>
  <si>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</si>
  <si>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</si>
  <si>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</si>
  <si>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</si>
  <si>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</si>
  <si>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</si>
  <si>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</si>
  <si>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</si>
  <si>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</si>
  <si>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</si>
  <si>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</si>
  <si>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</si>
  <si>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</si>
  <si>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</si>
  <si>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</si>
  <si>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</si>
  <si>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</si>
  <si>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</si>
  <si>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</si>
  <si>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</si>
  <si>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</si>
  <si>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</si>
  <si>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</si>
  <si>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</si>
  <si>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</si>
  <si>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</si>
  <si>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</si>
  <si>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</si>
  <si>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</si>
  <si>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</si>
  <si>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</si>
  <si>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</si>
  <si>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</si>
  <si>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</si>
  <si>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</si>
  <si>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</si>
  <si>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</si>
  <si>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</si>
  <si>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</si>
  <si>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</si>
  <si>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</si>
  <si>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</si>
  <si>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</si>
  <si>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</si>
  <si>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</si>
  <si>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</si>
  <si>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</si>
  <si>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</si>
  <si>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</si>
  <si>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</si>
  <si>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</si>
  <si>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</si>
  <si>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</si>
  <si>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</si>
  <si>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</si>
  <si>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</si>
  <si>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</si>
  <si>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</si>
  <si>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</si>
  <si>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</si>
  <si>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</si>
  <si>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</si>
  <si>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</si>
  <si>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</si>
  <si>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</si>
  <si>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</si>
  <si>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</si>
  <si>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</si>
  <si>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</si>
  <si>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</si>
  <si>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</si>
  <si>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</si>
  <si>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</si>
  <si>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</si>
  <si>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</si>
  <si>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</si>
  <si>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</si>
  <si>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</si>
  <si>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</si>
  <si>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</si>
  <si>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</si>
  <si>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</si>
  <si>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</si>
  <si>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</si>
  <si>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</si>
  <si>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</si>
  <si>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</si>
  <si>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</si>
  <si>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</si>
  <si>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</si>
  <si>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</si>
  <si>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</si>
  <si>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</si>
  <si>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</si>
  <si>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</si>
  <si>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</si>
  <si>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</si>
  <si>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</si>
  <si>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</si>
  <si>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</si>
  <si>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</si>
  <si>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</si>
  <si>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</si>
  <si>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</si>
  <si>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</si>
  <si>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</si>
  <si>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</si>
  <si>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</si>
  <si>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</si>
  <si>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</si>
  <si>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</si>
  <si>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</si>
  <si>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</si>
  <si>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</si>
  <si>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</si>
  <si>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</si>
  <si>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</si>
  <si>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</si>
  <si>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</si>
  <si>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</si>
  <si>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</si>
  <si>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</si>
  <si>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</si>
  <si>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</si>
  <si>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</si>
  <si>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</si>
  <si>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</si>
  <si>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</si>
  <si>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</si>
  <si>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</si>
  <si>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</si>
  <si>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</si>
  <si>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</si>
  <si>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</si>
  <si>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</si>
  <si>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</si>
  <si>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</si>
  <si>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</si>
  <si>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</si>
  <si>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</si>
  <si>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</si>
  <si>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</si>
  <si>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</si>
  <si>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</si>
  <si>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</si>
  <si>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</si>
  <si>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</si>
  <si>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</si>
  <si>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</si>
  <si>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</si>
  <si>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</si>
  <si>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</si>
  <si>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</si>
  <si>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</si>
  <si>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</si>
  <si>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</si>
  <si>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</si>
  <si>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</si>
  <si>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</si>
  <si>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</si>
  <si>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</si>
  <si>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</si>
  <si>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</si>
  <si>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</si>
  <si>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</si>
  <si>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</si>
  <si>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</si>
  <si>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</si>
  <si>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</si>
  <si>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</si>
  <si>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</si>
  <si>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</si>
  <si>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</si>
  <si>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</si>
  <si>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</si>
  <si>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</si>
  <si>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</si>
  <si>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</si>
  <si>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</si>
  <si>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</si>
  <si>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</si>
  <si>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</si>
  <si>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</si>
  <si>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</si>
  <si>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</si>
  <si>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</si>
  <si>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</si>
  <si>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</si>
  <si>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</si>
  <si>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</si>
  <si>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</si>
  <si>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</si>
  <si>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</si>
  <si>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</si>
  <si>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</si>
  <si>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</si>
  <si>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</si>
  <si>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</si>
  <si>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</si>
  <si>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</si>
  <si>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</si>
  <si>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</si>
  <si>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</si>
  <si>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</si>
  <si>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</si>
  <si>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</si>
  <si>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</si>
  <si>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</si>
  <si>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</si>
  <si>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</si>
  <si>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</si>
  <si>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</si>
  <si>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</si>
  <si>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</si>
  <si>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</si>
  <si>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</si>
  <si>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</si>
  <si>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</si>
  <si>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</si>
  <si>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</si>
  <si>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</si>
  <si>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</si>
  <si>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</si>
  <si>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</si>
  <si>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</si>
  <si>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</si>
  <si>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</si>
  <si>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</si>
  <si>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</si>
  <si>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</si>
  <si>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</si>
  <si>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</si>
  <si>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</si>
  <si>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</si>
  <si>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</si>
  <si>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</si>
  <si>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</si>
  <si>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</si>
  <si>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</si>
  <si>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</si>
  <si>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</si>
  <si>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</si>
  <si>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</si>
  <si>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</si>
  <si>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</si>
  <si>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</si>
  <si>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</si>
  <si>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</si>
  <si>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</si>
  <si>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</si>
  <si>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</si>
  <si>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</si>
  <si>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</si>
  <si>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</si>
  <si>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</si>
  <si>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</si>
  <si>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</si>
  <si>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</si>
  <si>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</si>
  <si>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</si>
  <si>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</si>
  <si>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</si>
  <si>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</si>
  <si>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</si>
  <si>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</si>
  <si>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</si>
  <si>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</si>
  <si>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</si>
  <si>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</si>
  <si>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</si>
  <si>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</si>
  <si>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</si>
  <si>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</si>
  <si>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</si>
  <si>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</si>
  <si>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</si>
  <si>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</si>
  <si>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</si>
  <si>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</si>
  <si>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</si>
  <si>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</si>
  <si>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</si>
  <si>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</si>
  <si>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</si>
  <si>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</si>
  <si>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</si>
  <si>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</si>
  <si>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</si>
  <si>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</si>
  <si>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</si>
  <si>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</si>
  <si>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</si>
  <si>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</si>
  <si>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</si>
  <si>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</si>
  <si>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</si>
  <si>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</si>
  <si>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</si>
  <si>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</si>
  <si>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</si>
  <si>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</si>
  <si>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</si>
  <si>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</si>
  <si>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</si>
  <si>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</si>
  <si>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</si>
  <si>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</si>
  <si>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</si>
  <si>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</si>
  <si>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</si>
  <si>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</si>
  <si>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</si>
  <si>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</si>
  <si>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</si>
  <si>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</si>
  <si>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</si>
  <si>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</si>
  <si>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</si>
  <si>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</si>
  <si>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</si>
  <si>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</si>
  <si>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</si>
  <si>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</si>
  <si>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</si>
  <si>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</si>
  <si>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</si>
  <si>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</si>
  <si>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</si>
  <si>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</si>
  <si>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</si>
  <si>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</si>
  <si>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</si>
  <si>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</si>
  <si>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</si>
  <si>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</si>
  <si>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</si>
  <si>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</si>
  <si>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</si>
  <si>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</si>
  <si>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</si>
  <si>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</si>
  <si>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</si>
  <si>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</si>
  <si>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</si>
  <si>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</si>
  <si>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</si>
  <si>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</si>
  <si>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</si>
  <si>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</si>
  <si>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</si>
  <si>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</si>
  <si>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</si>
  <si>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</si>
  <si>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</si>
  <si>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</si>
  <si>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</si>
  <si>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</si>
  <si>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</si>
  <si>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</si>
  <si>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</si>
  <si>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</si>
  <si>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</si>
  <si>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</si>
  <si>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</si>
  <si>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</si>
  <si>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</si>
  <si>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</si>
  <si>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</si>
  <si>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</si>
  <si>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</si>
  <si>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</si>
  <si>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</si>
  <si>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</si>
  <si>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</si>
  <si>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</si>
  <si>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</si>
  <si>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</si>
  <si>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</si>
  <si>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</si>
  <si>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</si>
  <si>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</si>
  <si>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</si>
  <si>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</si>
  <si>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</si>
  <si>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</si>
  <si>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</si>
  <si>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</si>
  <si>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</si>
  <si>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</si>
  <si>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</si>
  <si>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</si>
  <si>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</si>
  <si>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</si>
  <si>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</si>
  <si>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</si>
  <si>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</si>
  <si>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</si>
  <si>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</si>
  <si>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</si>
  <si>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</si>
  <si>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</si>
  <si>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</si>
  <si>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</si>
  <si>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</si>
  <si>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</si>
  <si>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</si>
  <si>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</si>
  <si>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</si>
  <si>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</si>
  <si>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</si>
  <si>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</si>
  <si>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</si>
  <si>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</si>
  <si>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</si>
  <si>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</si>
  <si>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</si>
  <si>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</si>
  <si>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</si>
  <si>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</si>
  <si>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</si>
  <si>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</si>
  <si>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</si>
  <si>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</si>
  <si>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</si>
  <si>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</si>
  <si>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</si>
  <si>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</si>
  <si>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</si>
  <si>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</si>
  <si>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</si>
  <si>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</si>
  <si>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</si>
  <si>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</si>
  <si>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</si>
  <si>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</si>
  <si>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</si>
  <si>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</si>
  <si>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</si>
  <si>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</si>
  <si>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</si>
  <si>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</si>
  <si>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</si>
  <si>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</si>
  <si>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</si>
  <si>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</si>
  <si>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</si>
  <si>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</si>
  <si>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</si>
  <si>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</si>
  <si>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</si>
  <si>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</si>
  <si>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</si>
  <si>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</si>
  <si>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</si>
  <si>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</si>
  <si>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</si>
  <si>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</si>
  <si>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</si>
  <si>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</si>
  <si>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</si>
  <si>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</si>
  <si>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</si>
  <si>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</si>
  <si>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</si>
  <si>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</si>
  <si>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</si>
  <si>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</si>
  <si>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</si>
  <si>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</si>
  <si>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</si>
  <si>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</si>
  <si>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</si>
  <si>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</si>
  <si>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</si>
  <si>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</si>
  <si>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</si>
  <si>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</si>
  <si>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</si>
  <si>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</si>
  <si>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</si>
  <si>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</si>
  <si>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</si>
  <si>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</si>
  <si>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</si>
  <si>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</si>
  <si>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</si>
  <si>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</si>
  <si>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</si>
  <si>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</si>
  <si>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</si>
  <si>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</si>
  <si>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</si>
  <si>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</si>
  <si>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</si>
  <si>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</si>
  <si>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</si>
  <si>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</si>
  <si>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</si>
  <si>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</si>
  <si>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</si>
  <si>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</si>
  <si>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</si>
  <si>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</si>
  <si>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</si>
  <si>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</si>
  <si>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</si>
  <si>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</si>
  <si>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</si>
  <si>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</si>
  <si>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</si>
  <si>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</si>
  <si>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</si>
  <si>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</si>
  <si>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</si>
  <si>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</si>
  <si>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</si>
  <si>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</si>
  <si>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</si>
  <si>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</si>
  <si>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</si>
  <si>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</si>
  <si>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</si>
  <si>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</si>
  <si>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</si>
  <si>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</si>
  <si>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</si>
  <si>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</si>
  <si>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</si>
  <si>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</si>
  <si>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</si>
  <si>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</si>
  <si>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</si>
  <si>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</si>
  <si>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</si>
  <si>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</si>
  <si>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</si>
  <si>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</si>
  <si>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</si>
  <si>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</si>
  <si>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</si>
  <si>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</si>
  <si>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</si>
  <si>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</si>
  <si>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</si>
  <si>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</si>
  <si>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</si>
  <si>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</si>
  <si>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</si>
  <si>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</si>
  <si>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</si>
  <si>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</si>
  <si>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</si>
  <si>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</si>
  <si>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</si>
  <si>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</si>
  <si>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</si>
  <si>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</si>
  <si>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</si>
  <si>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</si>
  <si>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</si>
  <si>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</si>
  <si>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</si>
  <si>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</si>
  <si>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</si>
  <si>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</si>
  <si>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</si>
  <si>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</si>
  <si>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</si>
  <si>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</si>
  <si>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</si>
  <si>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</si>
  <si>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</si>
  <si>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</si>
  <si>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</si>
  <si>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</si>
  <si>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</si>
  <si>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</si>
  <si>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</si>
  <si>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</si>
  <si>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</si>
  <si>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</si>
  <si>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</si>
  <si>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</si>
  <si>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</si>
  <si>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</si>
  <si>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</si>
  <si>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</si>
  <si>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</si>
  <si>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</si>
  <si>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</si>
  <si>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</si>
  <si>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</si>
  <si>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</si>
  <si>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</si>
  <si>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</si>
  <si>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</si>
  <si>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</si>
  <si>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</si>
  <si>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</si>
  <si>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</si>
  <si>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</si>
  <si>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</si>
  <si>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</si>
  <si>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</si>
  <si>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</si>
  <si>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</si>
  <si>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</si>
  <si>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</si>
  <si>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</si>
  <si>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</si>
  <si>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</si>
  <si>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</si>
  <si>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</si>
  <si>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</si>
  <si>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</si>
  <si>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</si>
  <si>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</si>
  <si>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</si>
  <si>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</si>
  <si>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</si>
  <si>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</si>
  <si>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</si>
  <si>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</si>
  <si>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</si>
  <si>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</si>
  <si>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</si>
  <si>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</si>
  <si>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</si>
  <si>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</si>
  <si>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</si>
  <si>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</si>
  <si>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</si>
  <si>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</si>
  <si>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</si>
  <si>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</si>
  <si>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</si>
  <si>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</si>
  <si>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</si>
  <si>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</si>
  <si>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</si>
  <si>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</si>
  <si>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</si>
  <si>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</si>
  <si>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</si>
  <si>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</si>
  <si>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</si>
  <si>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</si>
  <si>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</si>
  <si>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</si>
  <si>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</si>
  <si>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</si>
  <si>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</si>
  <si>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</si>
  <si>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</si>
  <si>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</si>
  <si>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</si>
  <si>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</si>
  <si>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</si>
  <si>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</si>
  <si>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</si>
  <si>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</si>
  <si>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</si>
  <si>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</si>
  <si>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</si>
  <si>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</si>
  <si>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</si>
  <si>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</si>
  <si>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</si>
  <si>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</si>
  <si>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</si>
  <si>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</si>
  <si>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</si>
  <si>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</si>
  <si>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</si>
  <si>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</si>
  <si>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</si>
  <si>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</si>
  <si>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</si>
  <si>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</si>
  <si>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</si>
  <si>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</si>
  <si>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</si>
  <si>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</si>
  <si>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</si>
  <si>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</si>
  <si>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</si>
  <si>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</si>
  <si>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</si>
  <si>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</si>
  <si>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</si>
  <si>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</si>
  <si>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</si>
  <si>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</si>
  <si>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</si>
  <si>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</si>
  <si>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</si>
  <si>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</si>
  <si>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</si>
  <si>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</si>
  <si>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</si>
  <si>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</si>
  <si>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</si>
  <si>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</si>
  <si>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</si>
  <si>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</si>
  <si>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</si>
  <si>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</si>
  <si>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</si>
  <si>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</si>
  <si>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</si>
  <si>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</si>
  <si>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</si>
  <si>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</si>
  <si>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</si>
  <si>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</si>
  <si>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</si>
  <si>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</si>
  <si>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</si>
  <si>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</si>
  <si>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</si>
  <si>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</si>
  <si>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</si>
  <si>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</si>
  <si>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</si>
  <si>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</si>
  <si>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</si>
  <si>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</si>
  <si>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</si>
  <si>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</si>
  <si>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</si>
  <si>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</si>
  <si>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</si>
  <si>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</si>
  <si>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</si>
  <si>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</si>
  <si>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</si>
  <si>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</si>
  <si>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</si>
  <si>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</si>
  <si>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</si>
  <si>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</si>
  <si>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</si>
  <si>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</si>
  <si>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</si>
  <si>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</si>
  <si>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</si>
  <si>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</si>
  <si>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</si>
  <si>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</si>
  <si>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</si>
  <si>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</si>
  <si>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</si>
  <si>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</si>
  <si>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</si>
  <si>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</si>
  <si>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</si>
  <si>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</si>
  <si>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</si>
  <si>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</si>
  <si>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</si>
  <si>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</si>
  <si>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</si>
  <si>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</si>
  <si>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</si>
  <si>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</si>
  <si>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</si>
  <si>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</si>
  <si>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</si>
  <si>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</si>
  <si>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</si>
  <si>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</si>
  <si>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</si>
  <si>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</si>
  <si>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</si>
  <si>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</si>
  <si>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</si>
  <si>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</si>
  <si>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</si>
  <si>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</si>
  <si>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</si>
  <si>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</si>
  <si>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</si>
  <si>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</si>
  <si>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</si>
  <si>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</si>
  <si>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</si>
  <si>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</si>
  <si>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</si>
  <si>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</si>
  <si>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</si>
  <si>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</si>
  <si>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</si>
  <si>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</si>
  <si>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</si>
  <si>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</si>
  <si>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</si>
  <si>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</si>
  <si>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</si>
  <si>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</si>
  <si>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</si>
  <si>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</si>
  <si>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</si>
  <si>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</si>
  <si>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</si>
  <si>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</si>
  <si>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</si>
  <si>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</si>
  <si>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</si>
  <si>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</si>
  <si>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</si>
  <si>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</si>
  <si>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</si>
  <si>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</si>
  <si>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</si>
  <si>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</si>
  <si>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</si>
  <si>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</si>
  <si>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</si>
  <si>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</si>
  <si>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</si>
  <si>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</si>
  <si>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</si>
  <si>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</si>
  <si>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</si>
  <si>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</si>
  <si>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</si>
  <si>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</si>
  <si>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</si>
  <si>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</si>
  <si>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</si>
  <si>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</si>
  <si>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</si>
  <si>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</si>
  <si>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</si>
  <si>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</si>
  <si>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</si>
  <si>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</si>
  <si>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</si>
  <si>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</si>
  <si>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</si>
  <si>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</si>
  <si>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</si>
  <si>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</si>
  <si>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</si>
  <si>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</si>
  <si>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</si>
  <si>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</si>
  <si>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</si>
  <si>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</si>
  <si>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</si>
  <si>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</si>
  <si>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</si>
  <si>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</si>
  <si>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</si>
  <si>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</si>
  <si>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</si>
  <si>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</si>
  <si>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</si>
  <si>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</si>
  <si>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</si>
  <si>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</si>
  <si>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</si>
  <si>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</si>
  <si>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</si>
  <si>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</si>
  <si>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</si>
  <si>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</si>
  <si>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</si>
  <si>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</si>
  <si>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</si>
  <si>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</si>
  <si>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</si>
  <si>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</si>
  <si>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</si>
  <si>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</si>
  <si>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</si>
  <si>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</si>
  <si>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</si>
  <si>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</si>
  <si>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</si>
  <si>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</si>
  <si>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</si>
  <si>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</si>
  <si>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</si>
  <si>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</si>
  <si>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</si>
  <si>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</si>
  <si>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</si>
  <si>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</si>
  <si>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</si>
  <si>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</si>
  <si>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</si>
  <si>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</si>
  <si>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</si>
  <si>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</si>
  <si>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</si>
  <si>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</si>
  <si>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</si>
  <si>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</si>
  <si>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</si>
  <si>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</si>
  <si>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</si>
  <si>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</si>
  <si>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</si>
  <si>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</si>
  <si>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</si>
  <si>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</si>
  <si>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</si>
  <si>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</si>
  <si>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</si>
  <si>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</si>
  <si>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</si>
  <si>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</si>
  <si>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</si>
  <si>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</si>
  <si>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</si>
  <si>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</si>
  <si>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</si>
  <si>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</si>
  <si>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</si>
  <si>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</si>
  <si>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</si>
  <si>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</si>
  <si>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</si>
  <si>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</si>
  <si>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</si>
  <si>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</si>
  <si>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</si>
  <si>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</si>
  <si>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</si>
  <si>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</si>
  <si>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</si>
  <si>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</si>
  <si>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</si>
  <si>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</si>
  <si>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</si>
  <si>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</si>
  <si>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</si>
  <si>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</si>
  <si>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</si>
  <si>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</si>
  <si>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</si>
  <si>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</si>
  <si>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</si>
  <si>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</si>
  <si>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</si>
  <si>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</si>
  <si>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</si>
  <si>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</si>
  <si>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</si>
  <si>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</si>
  <si>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</si>
  <si>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</si>
  <si>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</si>
  <si>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</si>
  <si>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</si>
  <si>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</si>
  <si>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</si>
  <si>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</si>
  <si>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</si>
  <si>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</si>
  <si>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</si>
  <si>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</si>
  <si>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</si>
  <si>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</si>
  <si>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</si>
  <si>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</si>
  <si>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</si>
  <si>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</si>
  <si>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</si>
  <si>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</si>
  <si>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</si>
  <si>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</si>
  <si>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</si>
  <si>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</si>
  <si>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</si>
  <si>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</si>
  <si>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</si>
  <si>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</si>
  <si>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</si>
  <si>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</si>
  <si>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</si>
  <si>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</si>
  <si>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</si>
  <si>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</si>
  <si>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</si>
  <si>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</si>
  <si>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</si>
  <si>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</si>
  <si>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</si>
  <si>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</si>
  <si>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</si>
  <si>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</si>
  <si>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</si>
  <si>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</si>
  <si>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</si>
  <si>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</si>
  <si>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</si>
  <si>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</si>
  <si>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</si>
  <si>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</si>
  <si>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</si>
  <si>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</si>
  <si>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</si>
  <si>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</si>
  <si>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</si>
  <si>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</si>
  <si>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</si>
  <si>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</si>
  <si>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</si>
  <si>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</si>
  <si>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</si>
  <si>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</si>
  <si>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</si>
  <si>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</si>
  <si>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</si>
  <si>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</si>
  <si>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</si>
  <si>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</si>
  <si>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</si>
  <si>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</si>
  <si>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</si>
  <si>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</si>
  <si>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</si>
  <si>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</si>
  <si>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</si>
  <si>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</si>
  <si>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</si>
  <si>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</si>
  <si>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</si>
  <si>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</si>
  <si>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</si>
  <si>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</si>
  <si>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</si>
  <si>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</si>
  <si>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</si>
  <si>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</si>
  <si>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</si>
  <si>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</si>
  <si>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</si>
  <si>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</si>
  <si>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</si>
  <si>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</si>
  <si>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</si>
  <si>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</si>
  <si>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</si>
  <si>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</si>
  <si>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</si>
  <si>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</si>
  <si>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</si>
  <si>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</si>
  <si>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</si>
  <si>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</si>
  <si>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</si>
  <si>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</si>
  <si>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</si>
  <si>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</si>
  <si>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</si>
  <si>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</si>
  <si>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</si>
  <si>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</si>
  <si>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</si>
  <si>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</si>
  <si>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</si>
  <si>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</si>
  <si>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</si>
  <si>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</si>
  <si>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</si>
  <si>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</si>
  <si>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</si>
  <si>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</si>
  <si>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</si>
  <si>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</si>
  <si>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</si>
  <si>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</si>
  <si>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</si>
  <si>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</si>
  <si>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</si>
  <si>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</si>
  <si>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</si>
  <si>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</si>
  <si>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</si>
  <si>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</si>
  <si>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</si>
  <si>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</si>
  <si>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</si>
  <si>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</si>
  <si>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</si>
  <si>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</si>
  <si>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</si>
  <si>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</si>
  <si>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</si>
  <si>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</si>
  <si>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</si>
  <si>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</si>
  <si>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</si>
  <si>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</si>
  <si>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</si>
  <si>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</si>
  <si>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</si>
  <si>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</si>
  <si>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</si>
  <si>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</si>
  <si>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</si>
  <si>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</si>
  <si>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</si>
  <si>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</si>
  <si>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</si>
  <si>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</si>
  <si>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</si>
  <si>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</si>
  <si>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</si>
  <si>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</si>
  <si>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</si>
  <si>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</si>
  <si>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</si>
  <si>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</si>
  <si>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</si>
  <si>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</si>
  <si>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</si>
  <si>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</si>
  <si>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</si>
  <si>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</si>
  <si>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</si>
  <si>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</si>
  <si>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</si>
  <si>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</si>
  <si>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</si>
  <si>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</si>
  <si>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</si>
  <si>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</si>
  <si>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</si>
  <si>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</si>
  <si>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</si>
  <si>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</si>
  <si>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</si>
  <si>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</si>
  <si>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</si>
  <si>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</si>
  <si>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</si>
  <si>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</si>
  <si>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</si>
  <si>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</si>
  <si>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</si>
  <si>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</si>
  <si>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</si>
  <si>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</si>
  <si>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</si>
  <si>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</si>
  <si>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</si>
  <si>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</si>
  <si>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</si>
  <si>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</si>
  <si>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</si>
  <si>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</si>
  <si>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</si>
  <si>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</si>
  <si>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</si>
  <si>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</si>
  <si>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</si>
  <si>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</si>
  <si>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</si>
  <si>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</si>
  <si>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</si>
  <si>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</si>
  <si>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</si>
  <si>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</si>
  <si>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</si>
  <si>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</si>
  <si>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</si>
  <si>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</si>
  <si>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</si>
  <si>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</si>
  <si>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</si>
  <si>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</si>
  <si>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</si>
  <si>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</si>
  <si>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</si>
  <si>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</si>
  <si>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</si>
  <si>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</si>
  <si>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</si>
  <si>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</si>
  <si>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</si>
  <si>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</si>
  <si>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</si>
  <si>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</si>
  <si>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</si>
  <si>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</si>
  <si>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</si>
  <si>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</si>
  <si>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</si>
  <si>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</si>
  <si>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</si>
  <si>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</si>
  <si>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</si>
  <si>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</si>
  <si>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</si>
  <si>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</si>
  <si>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</si>
  <si>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</si>
  <si>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</si>
  <si>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</si>
  <si>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</si>
  <si>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</si>
  <si>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</si>
  <si>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</si>
  <si>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</si>
  <si>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</si>
  <si>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</si>
  <si>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</si>
  <si>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</si>
  <si>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</si>
  <si>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</si>
  <si>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</si>
  <si>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</si>
  <si>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</si>
  <si>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</si>
  <si>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</si>
  <si>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</si>
  <si>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</si>
  <si>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</si>
  <si>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</si>
  <si>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</si>
  <si>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</si>
  <si>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</si>
  <si>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</si>
  <si>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</si>
  <si>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</si>
  <si>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</si>
  <si>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</si>
  <si>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</si>
  <si>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</si>
  <si>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</si>
  <si>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</si>
  <si>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</si>
  <si>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</si>
  <si>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</si>
  <si>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</si>
  <si>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</si>
  <si>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</si>
  <si>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</si>
  <si>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</si>
  <si>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</si>
  <si>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</si>
  <si>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</si>
  <si>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</si>
  <si>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</si>
  <si>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</si>
  <si>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</si>
  <si>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</si>
  <si>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</si>
  <si>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</si>
  <si>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</si>
  <si>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</si>
  <si>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</si>
  <si>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</si>
  <si>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</si>
  <si>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</si>
  <si>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</si>
  <si>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</si>
  <si>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</si>
  <si>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</si>
  <si>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</si>
  <si>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</si>
  <si>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</si>
  <si>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</si>
  <si>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</si>
  <si>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</si>
  <si>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</si>
  <si>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</si>
  <si>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</si>
  <si>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</si>
  <si>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</si>
  <si>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</si>
  <si>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</si>
  <si>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</si>
  <si>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</si>
  <si>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</si>
  <si>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</si>
  <si>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</si>
  <si>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</si>
  <si>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</si>
  <si>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</si>
  <si>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</si>
  <si>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</si>
  <si>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</si>
  <si>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</si>
  <si>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</si>
  <si>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</si>
  <si>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</si>
  <si>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</si>
  <si>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</si>
  <si>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</si>
  <si>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</si>
  <si>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</si>
  <si>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</si>
  <si>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</si>
  <si>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</si>
  <si>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</si>
  <si>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</si>
  <si>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</si>
  <si>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</si>
  <si>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</si>
  <si>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</si>
  <si>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</si>
  <si>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</si>
  <si>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</si>
  <si>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</si>
  <si>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</si>
  <si>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</si>
  <si>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</si>
  <si>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</si>
  <si>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</si>
  <si>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</si>
  <si>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</si>
  <si>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</si>
  <si>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</si>
  <si>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</si>
  <si>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</si>
  <si>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</si>
  <si>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</si>
  <si>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</si>
  <si>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</si>
  <si>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</si>
  <si>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</si>
  <si>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</si>
  <si>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</si>
  <si>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</si>
  <si>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</si>
  <si>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</si>
  <si>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</si>
  <si>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</si>
  <si>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</si>
  <si>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</si>
  <si>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</si>
  <si>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</si>
  <si>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</si>
  <si>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</si>
  <si>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</si>
  <si>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</si>
  <si>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</si>
  <si>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</si>
  <si>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</si>
  <si>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</si>
  <si>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</si>
  <si>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</si>
  <si>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</si>
  <si>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</si>
  <si>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</si>
  <si>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</si>
  <si>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</si>
  <si>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</si>
  <si>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</si>
  <si>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</si>
  <si>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</si>
  <si>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</si>
  <si>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</si>
  <si>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</si>
  <si>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</si>
  <si>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</si>
  <si>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</si>
  <si>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</si>
  <si>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</si>
  <si>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</si>
  <si>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</si>
  <si>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</si>
  <si>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</si>
  <si>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</si>
  <si>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</si>
  <si>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</si>
  <si>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</si>
  <si>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</si>
  <si>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</si>
  <si>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</si>
  <si>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</si>
  <si>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</si>
  <si>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</si>
  <si>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</si>
  <si>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</si>
  <si>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</si>
  <si>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</si>
  <si>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</si>
  <si>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</si>
  <si>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</si>
  <si>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</si>
  <si>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</si>
  <si>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</si>
  <si>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</si>
  <si>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</si>
  <si>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</si>
  <si>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</si>
  <si>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</si>
  <si>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</si>
  <si>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</si>
  <si>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</si>
  <si>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</si>
  <si>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</si>
  <si>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</si>
  <si>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</si>
  <si>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</si>
  <si>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</si>
  <si>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</si>
  <si>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</si>
  <si>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</si>
  <si>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</si>
  <si>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</si>
  <si>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</si>
  <si>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</si>
  <si>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</si>
  <si>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</si>
  <si>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</si>
  <si>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</si>
  <si>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</si>
  <si>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</si>
  <si>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</si>
  <si>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</si>
  <si>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</si>
  <si>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</si>
  <si>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</si>
  <si>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</si>
  <si>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</si>
  <si>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</si>
  <si>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</si>
  <si>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</si>
  <si>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</si>
  <si>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</si>
  <si>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</si>
  <si>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</si>
  <si>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</si>
  <si>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</si>
  <si>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</si>
  <si>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</si>
  <si>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</si>
  <si>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</si>
  <si>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</si>
  <si>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</si>
  <si>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</si>
  <si>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</si>
  <si>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</si>
  <si>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</si>
  <si>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</si>
  <si>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</si>
  <si>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</si>
  <si>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</si>
  <si>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</si>
  <si>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</si>
  <si>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</si>
  <si>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</si>
  <si>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</si>
  <si>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</si>
  <si>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</si>
  <si>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</si>
  <si>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</si>
  <si>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</si>
  <si>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</si>
  <si>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</si>
  <si>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</si>
  <si>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</si>
  <si>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</si>
  <si>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</si>
  <si>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</si>
  <si>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</si>
  <si>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</si>
  <si>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</si>
  <si>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</si>
  <si>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</si>
  <si>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</si>
  <si>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</si>
  <si>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</si>
  <si>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</si>
  <si>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</si>
  <si>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</si>
  <si>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</si>
  <si>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</si>
  <si>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</si>
  <si>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</si>
  <si>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</si>
  <si>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</si>
  <si>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</si>
  <si>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</si>
  <si>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</si>
  <si>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</si>
  <si>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</si>
  <si>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</si>
  <si>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</si>
  <si>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</si>
  <si>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</si>
  <si>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</si>
  <si>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</si>
  <si>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</si>
  <si>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</si>
  <si>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</si>
  <si>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</si>
  <si>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</si>
  <si>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</si>
  <si>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</si>
  <si>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</si>
  <si>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</si>
  <si>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</si>
  <si>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</si>
  <si>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</si>
  <si>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</si>
  <si>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</si>
  <si>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</si>
  <si>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</si>
  <si>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</si>
  <si>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</si>
  <si>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</si>
  <si>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</si>
  <si>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</si>
  <si>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</si>
  <si>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</si>
  <si>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</si>
  <si>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</si>
  <si>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</si>
  <si>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</si>
  <si>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</si>
  <si>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</si>
  <si>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</si>
  <si>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</si>
  <si>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</si>
  <si>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</si>
  <si>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</si>
  <si>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</si>
  <si>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</si>
  <si>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</si>
  <si>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</si>
  <si>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</si>
  <si>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</si>
  <si>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</si>
  <si>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</si>
  <si>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</si>
  <si>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</si>
  <si>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</si>
  <si>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</si>
  <si>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</si>
  <si>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</si>
  <si>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</si>
  <si>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</si>
  <si>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</si>
  <si>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</si>
  <si>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</si>
  <si>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</si>
  <si>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</si>
  <si>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</si>
  <si>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</si>
  <si>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</si>
  <si>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</si>
  <si>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</si>
  <si>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</si>
  <si>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</si>
  <si>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</si>
  <si>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</si>
  <si>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</si>
  <si>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</si>
  <si>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</si>
  <si>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</si>
  <si>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</si>
  <si>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</si>
  <si>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</si>
  <si>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</si>
  <si>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</si>
  <si>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</si>
  <si>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</si>
  <si>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</si>
  <si>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</si>
  <si>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</si>
  <si>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</si>
  <si>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</si>
  <si>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</si>
  <si>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</si>
  <si>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</si>
  <si>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</si>
  <si>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</si>
  <si>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</si>
  <si>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</si>
  <si>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</si>
  <si>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</si>
  <si>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</si>
  <si>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</si>
  <si>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</si>
  <si>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</si>
  <si>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</si>
  <si>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</si>
  <si>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</si>
  <si>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</si>
  <si>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</si>
  <si>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</si>
  <si>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</si>
  <si>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</si>
  <si>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</si>
  <si>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</si>
  <si>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</si>
  <si>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</si>
  <si>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</si>
  <si>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</si>
  <si>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</si>
  <si>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</si>
  <si>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</si>
  <si>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</si>
  <si>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</si>
  <si>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</si>
  <si>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</si>
  <si>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</si>
  <si>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</si>
  <si>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</si>
  <si>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</si>
  <si>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</si>
  <si>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</si>
  <si>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</si>
  <si>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</si>
  <si>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</si>
  <si>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</si>
  <si>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</si>
  <si>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</si>
  <si>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</si>
  <si>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</si>
  <si>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</si>
  <si>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</si>
  <si>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</si>
  <si>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</si>
  <si>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</si>
  <si>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</si>
  <si>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</si>
  <si>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</si>
  <si>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</si>
  <si>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</si>
  <si>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</si>
  <si>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</si>
  <si>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</si>
  <si>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</si>
  <si>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</si>
  <si>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</si>
  <si>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</si>
  <si>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</si>
  <si>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</si>
  <si>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</si>
  <si>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</si>
  <si>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</si>
  <si>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</si>
  <si>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</si>
  <si>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</si>
  <si>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</si>
  <si>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</si>
  <si>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</si>
  <si>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</si>
  <si>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</si>
  <si>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</si>
  <si>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</si>
  <si>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</si>
  <si>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</si>
  <si>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</si>
  <si>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</si>
  <si>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</si>
  <si>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</si>
  <si>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</si>
  <si>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</si>
  <si>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</si>
  <si>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</si>
  <si>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</si>
  <si>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</si>
  <si>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</si>
  <si>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</si>
  <si>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</si>
  <si>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</si>
  <si>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</si>
  <si>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</si>
  <si>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</si>
  <si>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</si>
  <si>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</si>
  <si>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</si>
  <si>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</si>
  <si>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</si>
  <si>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</si>
  <si>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</si>
  <si>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</si>
  <si>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</si>
  <si>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</si>
  <si>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</si>
  <si>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</si>
  <si>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</si>
  <si>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</si>
  <si>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</si>
  <si>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</si>
  <si>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</si>
  <si>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</si>
  <si>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</si>
  <si>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</si>
  <si>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</si>
  <si>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</si>
  <si>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</si>
  <si>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</si>
  <si>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</si>
  <si>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</si>
  <si>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</si>
  <si>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</si>
  <si>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</si>
  <si>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</si>
  <si>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</si>
  <si>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</si>
  <si>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</si>
  <si>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</si>
  <si>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</si>
  <si>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</si>
  <si>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</si>
  <si>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</si>
  <si>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</si>
  <si>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</si>
  <si>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</si>
  <si>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</si>
  <si>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</si>
  <si>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</si>
  <si>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</si>
  <si>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</si>
  <si>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</si>
  <si>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</si>
  <si>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</si>
  <si>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</si>
  <si>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</si>
  <si>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</si>
  <si>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</si>
  <si>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</si>
  <si>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</si>
  <si>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</si>
  <si>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</si>
  <si>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</si>
  <si>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</si>
  <si>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</si>
  <si>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</si>
  <si>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</si>
  <si>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</si>
  <si>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</si>
  <si>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</si>
  <si>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</si>
  <si>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</si>
  <si>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</si>
  <si>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</si>
  <si>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</si>
  <si>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</si>
  <si>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</si>
  <si>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</si>
  <si>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</si>
  <si>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</si>
  <si>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</si>
  <si>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</si>
  <si>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</si>
  <si>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</si>
  <si>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</si>
  <si>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</si>
  <si>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</si>
  <si>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</si>
  <si>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</si>
  <si>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</si>
  <si>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</si>
  <si>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</si>
  <si>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</si>
  <si>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</si>
  <si>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</si>
  <si>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</si>
  <si>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</si>
  <si>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</si>
  <si>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</si>
  <si>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</si>
  <si>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</si>
  <si>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</si>
  <si>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</si>
  <si>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</si>
  <si>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</si>
  <si>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</si>
  <si>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</si>
  <si>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</si>
  <si>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</si>
  <si>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</si>
  <si>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</si>
  <si>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</si>
  <si>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</si>
  <si>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</si>
  <si>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</si>
  <si>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</si>
  <si>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</si>
  <si>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</si>
  <si>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</si>
  <si>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</si>
  <si>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</si>
  <si>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</si>
  <si>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</si>
  <si>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</si>
  <si>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</si>
  <si>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</si>
  <si>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</si>
  <si>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</si>
  <si>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</si>
  <si>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</si>
  <si>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</si>
  <si>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</si>
  <si>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</si>
  <si>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</si>
  <si>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</si>
  <si>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</si>
  <si>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</si>
  <si>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</si>
  <si>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</si>
  <si>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</si>
  <si>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</si>
  <si>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</si>
  <si>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</si>
  <si>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</si>
  <si>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</si>
  <si>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</si>
  <si>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</si>
  <si>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</si>
  <si>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</si>
  <si>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</si>
  <si>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</si>
  <si>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</si>
  <si>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</si>
  <si>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</si>
  <si>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</si>
  <si>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</si>
  <si>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</si>
  <si>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</si>
  <si>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</si>
  <si>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</si>
  <si>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</si>
  <si>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</si>
  <si>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</si>
  <si>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</si>
  <si>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</si>
  <si>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</si>
  <si>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</si>
  <si>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</si>
  <si>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</si>
  <si>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</si>
  <si>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</si>
  <si>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</si>
  <si>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</si>
  <si>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</si>
  <si>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</si>
  <si>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</si>
  <si>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</si>
  <si>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</si>
  <si>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</si>
  <si>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</si>
  <si>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</si>
  <si>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</si>
  <si>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</si>
  <si>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</si>
  <si>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</si>
  <si>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</si>
  <si>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</si>
  <si>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</si>
  <si>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</si>
  <si>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</si>
  <si>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</si>
  <si>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</si>
  <si>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</si>
  <si>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</si>
  <si>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</si>
  <si>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</si>
  <si>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</si>
  <si>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</si>
  <si>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</si>
  <si>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</si>
  <si>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</si>
  <si>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</si>
  <si>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</si>
  <si>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</si>
  <si>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</si>
  <si>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</si>
  <si>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</si>
  <si>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</si>
  <si>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</si>
  <si>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</si>
  <si>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</si>
  <si>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</si>
  <si>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</si>
  <si>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</si>
  <si>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</si>
  <si>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</si>
  <si>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</si>
  <si>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</si>
  <si>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</si>
  <si>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</si>
  <si>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</si>
  <si>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</si>
  <si>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</si>
  <si>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</si>
  <si>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</si>
  <si>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</si>
  <si>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</si>
  <si>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</si>
  <si>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</si>
  <si>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</si>
  <si>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</si>
  <si>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</si>
  <si>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</si>
  <si>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</si>
  <si>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</si>
  <si>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</si>
  <si>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</si>
  <si>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</si>
  <si>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</si>
  <si>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</si>
  <si>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</si>
  <si>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</si>
  <si>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</si>
  <si>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</si>
  <si>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</si>
  <si>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</si>
  <si>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</si>
  <si>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</si>
  <si>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</si>
  <si>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</si>
  <si>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</si>
  <si>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</si>
  <si>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</si>
  <si>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</si>
  <si>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</si>
  <si>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</si>
  <si>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</si>
  <si>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</si>
  <si>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</si>
  <si>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</si>
  <si>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</si>
  <si>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</si>
  <si>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</si>
  <si>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</si>
  <si>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</si>
  <si>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</si>
  <si>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</si>
  <si>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</si>
  <si>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</si>
  <si>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</si>
  <si>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</si>
  <si>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</si>
  <si>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</si>
  <si>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</si>
  <si>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</si>
  <si>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</si>
  <si>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</si>
  <si>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</si>
  <si>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</si>
  <si>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</si>
  <si>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</si>
  <si>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</si>
  <si>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</si>
  <si>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</si>
  <si>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</si>
  <si>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</si>
  <si>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</si>
  <si>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</si>
  <si>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</si>
  <si>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</si>
  <si>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</si>
  <si>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</si>
  <si>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</si>
  <si>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</si>
  <si>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</si>
  <si>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</si>
  <si>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</si>
  <si>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</si>
  <si>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</si>
  <si>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</si>
  <si>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</si>
  <si>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</si>
  <si>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</si>
  <si>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</si>
  <si>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</si>
  <si>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</si>
  <si>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</si>
  <si>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</si>
  <si>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</si>
  <si>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</si>
  <si>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</si>
  <si>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</si>
  <si>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</si>
  <si>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</si>
  <si>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</si>
  <si>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</si>
  <si>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</si>
  <si>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</si>
  <si>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</si>
  <si>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</si>
  <si>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</si>
  <si>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</si>
  <si>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</si>
  <si>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</si>
  <si>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</si>
  <si>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</si>
  <si>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</si>
  <si>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</si>
  <si>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</si>
  <si>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</si>
  <si>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</si>
  <si>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</si>
  <si>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</si>
  <si>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</si>
  <si>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</si>
  <si>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</si>
  <si>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</si>
  <si>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</si>
  <si>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</si>
  <si>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</si>
  <si>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</si>
  <si>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</si>
  <si>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</si>
  <si>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</si>
  <si>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</si>
  <si>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</si>
  <si>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</si>
  <si>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</si>
  <si>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</si>
  <si>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</si>
  <si>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</si>
  <si>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</si>
  <si>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</si>
  <si>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</si>
  <si>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</si>
  <si>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</si>
  <si>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</si>
  <si>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</si>
  <si>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</si>
  <si>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</si>
  <si>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</si>
  <si>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</si>
  <si>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</si>
  <si>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</si>
  <si>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</si>
  <si>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</si>
  <si>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</si>
  <si>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</si>
  <si>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</si>
  <si>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</si>
  <si>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</si>
  <si>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</si>
  <si>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</si>
  <si>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</si>
  <si>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</si>
  <si>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</si>
  <si>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</si>
  <si>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</si>
  <si>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</si>
  <si>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</si>
  <si>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</si>
  <si>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</si>
  <si>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</si>
  <si>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</si>
  <si>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</si>
  <si>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</si>
  <si>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</si>
  <si>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</si>
  <si>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</si>
  <si>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</si>
  <si>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</si>
  <si>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</si>
  <si>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</si>
  <si>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</si>
  <si>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</si>
  <si>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</si>
  <si>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</si>
  <si>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</si>
  <si>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</si>
  <si>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</si>
  <si>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</si>
  <si>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</si>
  <si>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</si>
  <si>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</si>
  <si>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</si>
  <si>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</si>
  <si>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</si>
  <si>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</si>
  <si>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</si>
  <si>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</si>
  <si>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</si>
  <si>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</si>
  <si>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</si>
  <si>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</si>
  <si>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</si>
  <si>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</si>
  <si>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</si>
  <si>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</si>
  <si>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</si>
  <si>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</si>
  <si>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</si>
  <si>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</si>
  <si>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</si>
  <si>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</si>
  <si>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</si>
  <si>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</si>
  <si>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</si>
  <si>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</si>
  <si>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</si>
  <si>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</si>
  <si>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</si>
  <si>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</si>
  <si>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</si>
  <si>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</si>
  <si>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</si>
  <si>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</si>
  <si>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</si>
  <si>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</si>
  <si>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</si>
  <si>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</si>
  <si>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</si>
  <si>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</si>
  <si>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</si>
  <si>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</si>
  <si>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</si>
  <si>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</si>
  <si>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</si>
  <si>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</si>
  <si>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</si>
  <si>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</si>
  <si>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</si>
  <si>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</si>
  <si>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</si>
  <si>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</si>
  <si>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</si>
  <si>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</si>
  <si>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</si>
  <si>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</si>
  <si>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</si>
  <si>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</si>
  <si>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</si>
  <si>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</si>
  <si>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</si>
  <si>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</si>
  <si>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</si>
  <si>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</si>
  <si>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</si>
  <si>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</si>
  <si>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</si>
  <si>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</si>
  <si>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</si>
  <si>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</si>
  <si>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</si>
  <si>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</si>
  <si>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</si>
  <si>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</si>
  <si>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</si>
  <si>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</si>
  <si>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</si>
  <si>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</si>
  <si>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</si>
  <si>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</si>
  <si>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</si>
  <si>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</si>
  <si>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</si>
  <si>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</si>
  <si>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</si>
  <si>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</si>
  <si>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</si>
  <si>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</si>
  <si>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</si>
  <si>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</si>
  <si>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</si>
  <si>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</si>
  <si>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</si>
  <si>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</si>
  <si>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</si>
  <si>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</si>
  <si>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</si>
  <si>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</si>
  <si>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</si>
  <si>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</si>
  <si>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</si>
  <si>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</si>
  <si>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</si>
  <si>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</si>
  <si>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</si>
  <si>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</si>
  <si>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</si>
  <si>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</si>
  <si>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</si>
  <si>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</si>
  <si>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</si>
  <si>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</si>
  <si>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</si>
  <si>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</si>
  <si>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</si>
  <si>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</si>
  <si>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</si>
  <si>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</si>
  <si>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</si>
  <si>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</si>
  <si>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</si>
  <si>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</si>
  <si>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</si>
  <si>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</si>
  <si>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</si>
  <si>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</si>
  <si>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</si>
  <si>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</si>
  <si>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</si>
  <si>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</si>
  <si>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</si>
  <si>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</si>
  <si>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</si>
  <si>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</si>
  <si>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</si>
  <si>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</si>
  <si>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</si>
  <si>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</si>
  <si>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</si>
  <si>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</si>
  <si>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</si>
  <si>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</si>
  <si>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</si>
  <si>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</si>
  <si>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</si>
  <si>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</si>
  <si>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</si>
  <si>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</si>
  <si>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</si>
  <si>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</si>
  <si>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</si>
  <si>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</si>
  <si>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</si>
  <si>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</si>
  <si>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</si>
  <si>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</si>
  <si>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</si>
  <si>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</si>
  <si>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</si>
  <si>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</si>
  <si>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</si>
  <si>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</si>
  <si>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</si>
  <si>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</si>
  <si>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</si>
  <si>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</si>
  <si>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</si>
  <si>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</si>
  <si>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</si>
  <si>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</si>
  <si>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</si>
  <si>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</si>
  <si>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</si>
  <si>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</si>
  <si>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</si>
  <si>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</si>
  <si>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</si>
  <si>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</si>
  <si>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</si>
  <si>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</si>
  <si>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</si>
  <si>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</si>
  <si>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</si>
  <si>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</si>
  <si>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</si>
  <si>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</si>
  <si>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</si>
  <si>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</si>
  <si>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</si>
  <si>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</si>
  <si>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</si>
  <si>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</si>
  <si>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</si>
  <si>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</si>
  <si>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</si>
  <si>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</si>
  <si>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</si>
  <si>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</si>
  <si>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</si>
  <si>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</si>
  <si>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</si>
  <si>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</si>
  <si>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</si>
  <si>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</si>
  <si>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</si>
  <si>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</si>
  <si>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</si>
  <si>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</si>
  <si>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</si>
  <si>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</si>
  <si>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</si>
  <si>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</si>
  <si>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</si>
  <si>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</si>
  <si>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</si>
  <si>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</si>
  <si>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</si>
  <si>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</si>
  <si>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</si>
  <si>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</si>
  <si>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</si>
  <si>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</si>
  <si>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</si>
  <si>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</si>
  <si>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</si>
  <si>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</si>
  <si>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</si>
  <si>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</si>
  <si>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</si>
  <si>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</si>
  <si>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</si>
  <si>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</si>
  <si>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</si>
  <si>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</si>
  <si>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</si>
  <si>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</si>
  <si>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</si>
  <si>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</si>
  <si>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</si>
  <si>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</si>
  <si>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</si>
  <si>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</si>
  <si>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</si>
  <si>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</si>
  <si>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</si>
  <si>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</si>
  <si>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</si>
  <si>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</si>
  <si>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</si>
  <si>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</si>
  <si>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</si>
  <si>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</si>
  <si>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</si>
  <si>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</si>
  <si>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</si>
  <si>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</si>
  <si>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</si>
  <si>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</si>
  <si>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</si>
  <si>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</si>
  <si>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</si>
  <si>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</si>
  <si>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</si>
  <si>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</si>
  <si>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</si>
  <si>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</si>
  <si>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</si>
  <si>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</si>
  <si>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</si>
  <si>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</si>
  <si>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</si>
  <si>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</si>
  <si>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</si>
  <si>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</si>
  <si>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</si>
  <si>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</si>
  <si>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</si>
  <si>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</si>
  <si>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</si>
  <si>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</si>
  <si>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</si>
  <si>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</si>
  <si>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</si>
  <si>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</si>
  <si>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</si>
  <si>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</si>
  <si>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</si>
  <si>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</si>
  <si>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</si>
  <si>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</si>
  <si>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</si>
  <si>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</si>
  <si>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</si>
  <si>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</si>
  <si>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</si>
  <si>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</si>
  <si>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</si>
  <si>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</si>
  <si>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</si>
  <si>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</si>
  <si>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</si>
  <si>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</si>
  <si>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</si>
  <si>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</si>
  <si>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</si>
  <si>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</si>
  <si>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</si>
  <si>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</si>
  <si>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</si>
  <si>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</si>
  <si>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</si>
  <si>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</si>
  <si>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</si>
  <si>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</si>
  <si>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</si>
  <si>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</si>
  <si>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</si>
  <si>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</si>
  <si>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</si>
  <si>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</si>
  <si>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</si>
  <si>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</si>
  <si>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</si>
  <si>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</si>
  <si>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</si>
  <si>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</si>
  <si>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</si>
  <si>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</si>
  <si>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</si>
  <si>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</si>
  <si>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</si>
  <si>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</si>
  <si>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</si>
  <si>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</si>
  <si>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</si>
  <si>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</si>
  <si>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</si>
  <si>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</si>
  <si>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</si>
  <si>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</si>
  <si>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</si>
  <si>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</si>
  <si>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</si>
  <si>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</si>
  <si>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</si>
  <si>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</si>
  <si>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</si>
  <si>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</si>
  <si>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</si>
  <si>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</si>
  <si>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</si>
  <si>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</si>
  <si>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</si>
  <si>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</si>
  <si>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</si>
  <si>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</si>
  <si>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</si>
  <si>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</si>
  <si>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</si>
  <si>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</si>
  <si>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</si>
  <si>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</si>
  <si>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</si>
  <si>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</si>
  <si>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</si>
  <si>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</si>
  <si>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</si>
  <si>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</si>
  <si>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</si>
  <si>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</si>
  <si>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</si>
  <si>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</si>
  <si>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</si>
  <si>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</si>
  <si>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</si>
  <si>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</si>
  <si>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</si>
  <si>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</si>
  <si>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</si>
  <si>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</si>
  <si>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</si>
  <si>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</si>
  <si>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</si>
  <si>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</si>
  <si>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</si>
  <si>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</si>
  <si>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</si>
  <si>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</si>
  <si>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</si>
  <si>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</si>
  <si>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</si>
  <si>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</si>
  <si>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</si>
  <si>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</si>
  <si>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</si>
  <si>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</si>
  <si>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</si>
  <si>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</si>
  <si>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</si>
  <si>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</si>
  <si>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</si>
  <si>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</si>
  <si>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</si>
  <si>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</si>
  <si>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</si>
  <si>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</si>
  <si>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</si>
  <si>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</si>
  <si>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</si>
  <si>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</si>
  <si>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</si>
  <si>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</si>
  <si>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</si>
  <si>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</si>
  <si>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</si>
  <si>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</si>
  <si>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</si>
  <si>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</si>
  <si>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</si>
  <si>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</si>
  <si>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</si>
  <si>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</si>
  <si>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</si>
  <si>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</si>
  <si>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</si>
  <si>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</si>
  <si>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</si>
  <si>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</si>
  <si>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</si>
  <si>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</si>
  <si>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</si>
  <si>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</si>
  <si>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</si>
  <si>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</si>
  <si>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</si>
  <si>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</si>
  <si>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</si>
  <si>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</si>
  <si>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</si>
  <si>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</si>
  <si>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</si>
  <si>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</si>
  <si>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</si>
  <si>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</si>
  <si>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</si>
  <si>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</si>
  <si>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</si>
  <si>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</si>
  <si>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</si>
  <si>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</si>
  <si>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</si>
  <si>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</si>
  <si>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</si>
  <si>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</si>
  <si>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</si>
  <si>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</si>
  <si>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</si>
  <si>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</si>
  <si>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</si>
  <si>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</si>
  <si>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</si>
  <si>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</si>
  <si>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</si>
  <si>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</si>
  <si>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</si>
  <si>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</si>
  <si>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</si>
  <si>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</si>
  <si>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</si>
  <si>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</si>
  <si>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</si>
  <si>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</si>
  <si>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</si>
  <si>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</si>
  <si>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</si>
  <si>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</si>
  <si>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</si>
  <si>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</si>
  <si>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</si>
  <si>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</si>
  <si>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</si>
  <si>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</si>
  <si>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</si>
  <si>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</si>
  <si>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</si>
  <si>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</si>
  <si>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</si>
  <si>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</si>
  <si>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</si>
  <si>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</si>
  <si>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</si>
  <si>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</si>
  <si>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</si>
  <si>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</si>
  <si>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</si>
  <si>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</si>
  <si>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</si>
  <si>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</si>
  <si>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</si>
  <si>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</si>
  <si>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</si>
  <si>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</si>
  <si>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</si>
  <si>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</si>
  <si>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</si>
  <si>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</si>
  <si>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</si>
  <si>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</si>
  <si>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</si>
  <si>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</si>
  <si>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</si>
  <si>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</si>
  <si>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</si>
  <si>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</si>
  <si>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</si>
  <si>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</si>
  <si>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</si>
  <si>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</si>
  <si>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</si>
  <si>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</si>
  <si>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</si>
  <si>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</si>
  <si>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</si>
  <si>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</si>
  <si>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</si>
  <si>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</si>
  <si>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</si>
  <si>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</si>
  <si>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</si>
  <si>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</si>
  <si>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</si>
  <si>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</si>
  <si>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</si>
  <si>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</si>
  <si>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</si>
  <si>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</si>
  <si>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</si>
  <si>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</si>
  <si>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</si>
  <si>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</si>
  <si>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</si>
  <si>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</si>
  <si>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</si>
  <si>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</si>
  <si>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</si>
  <si>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</si>
  <si>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</si>
  <si>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</si>
  <si>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</si>
  <si>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</si>
  <si>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</si>
  <si>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</si>
  <si>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</si>
  <si>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</si>
  <si>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</si>
  <si>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</si>
  <si>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</si>
  <si>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</si>
  <si>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</si>
  <si>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</si>
  <si>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</si>
  <si>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</si>
  <si>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</si>
  <si>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</si>
  <si>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</si>
  <si>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</si>
  <si>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</si>
  <si>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</si>
  <si>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</si>
  <si>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</si>
  <si>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</si>
  <si>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</si>
  <si>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</si>
  <si>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</si>
  <si>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</si>
  <si>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</si>
  <si>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</si>
  <si>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</si>
  <si>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</si>
  <si>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</si>
  <si>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</si>
  <si>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</si>
  <si>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</si>
  <si>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</si>
  <si>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</si>
  <si>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</si>
  <si>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</si>
  <si>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</si>
  <si>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</si>
  <si>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</si>
  <si>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</si>
  <si>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</si>
  <si>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</si>
  <si>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</si>
  <si>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</si>
  <si>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</si>
  <si>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</si>
  <si>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</si>
  <si>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</si>
  <si>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</si>
  <si>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</si>
  <si>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</si>
  <si>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</si>
  <si>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</si>
  <si>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</si>
  <si>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</si>
  <si>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</si>
  <si>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</si>
  <si>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</si>
  <si>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</si>
  <si>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</si>
  <si>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</si>
  <si>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</si>
  <si>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</si>
  <si>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</si>
  <si>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</si>
  <si>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</si>
  <si>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</si>
  <si>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</si>
  <si>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</si>
  <si>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</si>
  <si>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</si>
  <si>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</si>
  <si>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</si>
  <si>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</si>
  <si>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</si>
  <si>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</si>
  <si>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</si>
  <si>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</si>
  <si>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</si>
  <si>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</si>
  <si>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</si>
  <si>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</si>
  <si>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</si>
  <si>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</si>
  <si>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</si>
  <si>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</si>
  <si>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</si>
  <si>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</si>
  <si>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</si>
  <si>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</si>
  <si>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</si>
  <si>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</si>
  <si>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</si>
  <si>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</si>
  <si>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</si>
  <si>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</si>
  <si>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</si>
  <si>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</si>
  <si>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</si>
  <si>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</si>
  <si>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</si>
  <si>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</si>
  <si>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</si>
  <si>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</si>
  <si>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</si>
  <si>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</si>
  <si>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</si>
  <si>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</si>
  <si>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</si>
  <si>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</si>
  <si>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</si>
  <si>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</si>
  <si>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</si>
  <si>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</si>
  <si>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</si>
  <si>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</si>
  <si>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</si>
  <si>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</si>
  <si>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</si>
  <si>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</si>
  <si>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</si>
  <si>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</si>
  <si>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</si>
  <si>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</si>
  <si>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</si>
  <si>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</si>
  <si>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</si>
  <si>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</si>
  <si>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</si>
  <si>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</si>
  <si>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</si>
  <si>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</si>
  <si>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</si>
  <si>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</si>
  <si>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</si>
  <si>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</si>
  <si>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</si>
  <si>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</si>
  <si>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</si>
  <si>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</si>
  <si>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</si>
  <si>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</si>
  <si>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</si>
  <si>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</si>
  <si>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</si>
  <si>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</si>
  <si>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</si>
  <si>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</si>
  <si>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</si>
  <si>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</si>
  <si>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</si>
  <si>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</si>
  <si>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</si>
  <si>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</si>
  <si>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</si>
  <si>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</si>
  <si>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</si>
  <si>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</si>
  <si>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</si>
  <si>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</si>
  <si>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</si>
  <si>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</si>
  <si>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</si>
  <si>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</si>
  <si>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</si>
  <si>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</si>
  <si>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</si>
  <si>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</si>
  <si>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</si>
  <si>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</si>
  <si>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</si>
  <si>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</si>
  <si>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</si>
  <si>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</si>
  <si>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</si>
  <si>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</si>
  <si>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</si>
  <si>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</si>
  <si>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</si>
  <si>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</si>
  <si>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</si>
  <si>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</si>
  <si>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</si>
  <si>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</si>
  <si>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</si>
  <si>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</si>
  <si>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</si>
  <si>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</si>
  <si>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</si>
  <si>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</si>
  <si>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</si>
  <si>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</si>
  <si>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</si>
  <si>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</si>
  <si>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</si>
  <si>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</si>
  <si>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</si>
  <si>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</si>
  <si>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</si>
  <si>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</si>
  <si>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</si>
  <si>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</si>
  <si>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</si>
  <si>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</si>
  <si>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</si>
  <si>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</si>
  <si>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</si>
  <si>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</si>
  <si>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</si>
  <si>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</si>
  <si>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</si>
  <si>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</si>
  <si>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</si>
  <si>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</si>
  <si>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</si>
  <si>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</si>
  <si>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</si>
  <si>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</si>
  <si>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</si>
  <si>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</si>
  <si>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</si>
  <si>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</si>
  <si>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</si>
  <si>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</si>
  <si>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</si>
  <si>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</si>
  <si>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</si>
  <si>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</si>
  <si>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</si>
  <si>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</si>
  <si>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</si>
  <si>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</si>
  <si>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</si>
  <si>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</si>
  <si>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</si>
  <si>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</si>
  <si>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</si>
  <si>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</si>
  <si>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</si>
  <si>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</si>
  <si>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</si>
  <si>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</si>
  <si>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</si>
  <si>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</si>
  <si>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</si>
  <si>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</si>
  <si>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</si>
  <si>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</si>
  <si>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</si>
  <si>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</si>
  <si>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</si>
  <si>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</si>
  <si>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</si>
  <si>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</si>
  <si>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</si>
  <si>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</si>
  <si>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</si>
  <si>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</si>
  <si>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</si>
  <si>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</si>
  <si>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</si>
  <si>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</si>
  <si>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</si>
  <si>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</si>
  <si>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</si>
  <si>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</si>
  <si>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</si>
  <si>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</si>
  <si>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</si>
  <si>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</si>
  <si>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</si>
  <si>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</si>
  <si>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</si>
  <si>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</si>
  <si>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</si>
  <si>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</si>
  <si>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</si>
  <si>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</si>
  <si>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</si>
  <si>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</si>
  <si>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</si>
  <si>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</si>
  <si>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</si>
  <si>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</si>
  <si>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</si>
  <si>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</si>
  <si>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</si>
  <si>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</si>
  <si>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</si>
  <si>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</si>
  <si>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</si>
  <si>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</si>
  <si>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</si>
  <si>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</si>
  <si>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</si>
  <si>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</si>
  <si>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</si>
  <si>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</si>
  <si>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</si>
  <si>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</si>
  <si>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</si>
  <si>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</si>
  <si>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</si>
  <si>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</si>
  <si>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</si>
  <si>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</si>
  <si>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</si>
  <si>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</si>
  <si>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</si>
  <si>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</si>
  <si>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</si>
  <si>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</si>
  <si>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</si>
  <si>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</si>
  <si>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</si>
  <si>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</si>
  <si>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</si>
  <si>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</si>
  <si>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</si>
  <si>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</si>
  <si>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</si>
  <si>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</si>
  <si>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</si>
  <si>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</si>
  <si>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</si>
  <si>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</si>
  <si>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</si>
  <si>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</si>
  <si>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</si>
  <si>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</si>
  <si>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</si>
  <si>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</si>
  <si>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</si>
  <si>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</si>
  <si>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</si>
  <si>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</si>
  <si>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</si>
  <si>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</si>
  <si>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</si>
  <si>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</si>
  <si>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</si>
  <si>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</si>
  <si>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</si>
  <si>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</si>
  <si>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</si>
  <si>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</si>
  <si>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</si>
  <si>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</si>
  <si>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</si>
  <si>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</si>
  <si>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</si>
  <si>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</si>
  <si>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</si>
  <si>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</si>
  <si>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</si>
  <si>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</si>
  <si>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</si>
  <si>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</si>
  <si>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</si>
  <si>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</si>
  <si>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</si>
  <si>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</si>
  <si>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</si>
  <si>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</si>
  <si>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</si>
  <si>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</si>
  <si>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</si>
  <si>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</si>
  <si>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</si>
  <si>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</si>
  <si>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</si>
  <si>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</si>
  <si>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</si>
  <si>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</si>
  <si>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</si>
  <si>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</si>
  <si>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</si>
  <si>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</si>
  <si>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</si>
  <si>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</si>
  <si>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</si>
  <si>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</si>
  <si>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</si>
  <si>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</si>
  <si>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</si>
  <si>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</si>
  <si>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</si>
  <si>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</si>
  <si>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</si>
  <si>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</si>
  <si>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</si>
  <si>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</si>
  <si>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</si>
  <si>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</si>
  <si>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</si>
  <si>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</si>
  <si>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</si>
  <si>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</si>
  <si>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</si>
  <si>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</si>
  <si>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</si>
  <si>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</si>
  <si>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</si>
  <si>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</si>
  <si>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</si>
  <si>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</si>
  <si>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</si>
  <si>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</si>
  <si>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</si>
  <si>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</si>
  <si>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</si>
  <si>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</si>
  <si>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</si>
  <si>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</si>
  <si>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</si>
  <si>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</si>
  <si>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</si>
  <si>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</si>
  <si>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</si>
  <si>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</si>
  <si>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</si>
  <si>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</si>
  <si>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</si>
  <si>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</si>
  <si>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</si>
  <si>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</si>
  <si>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</si>
  <si>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</si>
  <si>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</si>
  <si>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</si>
  <si>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</si>
  <si>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</si>
  <si>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</si>
  <si>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</si>
  <si>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</si>
  <si>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</si>
  <si>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</si>
  <si>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</si>
  <si>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</si>
  <si>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</si>
  <si>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</si>
  <si>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</si>
  <si>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</si>
  <si>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</si>
  <si>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</si>
  <si>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</si>
  <si>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</si>
  <si>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</si>
  <si>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</si>
  <si>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</si>
  <si>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</si>
  <si>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</si>
  <si>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</si>
  <si>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</si>
  <si>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</si>
  <si>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</si>
  <si>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</si>
  <si>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</si>
  <si>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</si>
  <si>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</si>
  <si>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</si>
  <si>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</si>
  <si>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</si>
  <si>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</si>
  <si>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</si>
  <si>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</si>
  <si>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</si>
  <si>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</si>
  <si>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</si>
  <si>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</si>
  <si>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</si>
  <si>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</si>
  <si>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</si>
  <si>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</si>
  <si>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</si>
  <si>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</si>
  <si>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</si>
  <si>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</si>
  <si>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</si>
  <si>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</si>
  <si>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</si>
  <si>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</si>
  <si>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</si>
  <si>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</si>
  <si>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</si>
  <si>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</si>
  <si>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</si>
  <si>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</si>
  <si>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</si>
  <si>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</si>
  <si>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</si>
  <si>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</si>
  <si>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</si>
  <si>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</si>
  <si>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</si>
  <si>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</si>
  <si>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</si>
  <si>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</si>
  <si>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</si>
  <si>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</si>
  <si>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</si>
  <si>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</si>
  <si>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</si>
  <si>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</si>
  <si>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</si>
  <si>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</si>
  <si>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</si>
  <si>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</si>
  <si>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</si>
  <si>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</si>
  <si>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</si>
  <si>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</si>
  <si>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</si>
  <si>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</si>
  <si>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</si>
  <si>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</si>
  <si>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</si>
  <si>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</si>
  <si>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</si>
  <si>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</si>
  <si>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</si>
  <si>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</si>
  <si>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</si>
  <si>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</si>
  <si>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</si>
  <si>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</si>
  <si>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</si>
  <si>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</si>
  <si>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</si>
  <si>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</si>
  <si>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</si>
  <si>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</si>
  <si>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</si>
  <si>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</si>
  <si>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</si>
  <si>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</si>
  <si>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</si>
  <si>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</si>
  <si>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</si>
  <si>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</si>
  <si>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</si>
  <si>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</si>
  <si>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</si>
  <si>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</si>
  <si>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</si>
  <si>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</si>
  <si>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</si>
  <si>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</si>
  <si>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</si>
  <si>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</si>
  <si>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</si>
  <si>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</si>
  <si>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</si>
  <si>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</si>
  <si>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</si>
  <si>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</si>
  <si>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</si>
  <si>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</si>
  <si>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</si>
  <si>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</si>
  <si>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</si>
  <si>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</si>
  <si>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</si>
  <si>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</si>
  <si>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</si>
  <si>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</si>
  <si>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</si>
  <si>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</si>
  <si>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</si>
  <si>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</si>
  <si>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</si>
  <si>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</si>
  <si>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</si>
  <si>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</si>
  <si>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</si>
  <si>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</si>
  <si>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</si>
  <si>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</si>
  <si>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</si>
  <si>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</si>
  <si>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</si>
  <si>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</si>
  <si>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</si>
  <si>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</si>
  <si>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</si>
  <si>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</si>
  <si>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</si>
  <si>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</si>
  <si>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</si>
  <si>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</si>
  <si>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</si>
  <si>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</si>
  <si>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</si>
  <si>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</si>
  <si>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</si>
  <si>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</si>
  <si>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</si>
  <si>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</si>
  <si>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</si>
  <si>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</si>
  <si>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</si>
  <si>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</si>
  <si>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</si>
  <si>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</si>
  <si>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</si>
  <si>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</si>
  <si>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</si>
  <si>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</si>
  <si>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</si>
  <si>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</si>
  <si>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</si>
  <si>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</si>
  <si>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</si>
  <si>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</si>
  <si>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</si>
  <si>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</si>
  <si>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</si>
  <si>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</si>
  <si>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</si>
  <si>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</si>
  <si>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</si>
  <si>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</si>
  <si>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</si>
  <si>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</si>
  <si>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</si>
  <si>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</si>
  <si>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</si>
  <si>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</si>
  <si>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</si>
  <si>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</si>
  <si>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</si>
  <si>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</si>
  <si>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</si>
  <si>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</si>
  <si>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</si>
  <si>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</si>
  <si>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</si>
  <si>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</si>
  <si>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</si>
  <si>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</si>
  <si>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</si>
  <si>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</si>
  <si>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</si>
  <si>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</si>
  <si>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</si>
  <si>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</si>
  <si>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</si>
  <si>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</si>
  <si>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</si>
  <si>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</si>
  <si>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</si>
  <si>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</si>
  <si>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</si>
  <si>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</si>
  <si>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</si>
  <si>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</si>
  <si>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</si>
  <si>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</si>
  <si>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</si>
  <si>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</si>
  <si>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</si>
  <si>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</si>
  <si>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</si>
  <si>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</si>
  <si>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</si>
  <si>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</si>
  <si>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</si>
  <si>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</si>
  <si>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</si>
  <si>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</si>
  <si>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</si>
  <si>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</si>
  <si>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</si>
  <si>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</si>
  <si>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</si>
  <si>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</si>
  <si>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</si>
  <si>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</si>
  <si>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</si>
  <si>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</si>
  <si>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</si>
  <si>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</si>
  <si>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</si>
  <si>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</si>
  <si>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</si>
  <si>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</si>
  <si>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</si>
  <si>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</si>
  <si>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</si>
  <si>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</si>
  <si>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</si>
  <si>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</si>
  <si>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</si>
  <si>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</si>
  <si>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</si>
  <si>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</si>
  <si>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</si>
  <si>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</si>
  <si>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</si>
  <si>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</si>
  <si>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</si>
  <si>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</si>
  <si>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</si>
  <si>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</si>
  <si>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</si>
  <si>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</si>
  <si>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</si>
  <si>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</si>
  <si>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</si>
  <si>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</si>
  <si>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</si>
  <si>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</si>
  <si>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</si>
  <si>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</si>
  <si>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</si>
  <si>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</si>
  <si>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</si>
  <si>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</si>
  <si>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</si>
  <si>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</si>
  <si>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</si>
  <si>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</si>
  <si>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</si>
  <si>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</si>
  <si>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</si>
  <si>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</si>
  <si>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</si>
  <si>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</si>
  <si>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</si>
  <si>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</si>
  <si>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</si>
  <si>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</si>
  <si>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</si>
  <si>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</si>
  <si>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</si>
  <si>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</si>
  <si>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</si>
  <si>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</si>
  <si>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</si>
  <si>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</si>
  <si>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</si>
  <si>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</si>
  <si>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</si>
  <si>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</si>
  <si>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</si>
  <si>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</si>
  <si>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</si>
  <si>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</si>
  <si>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</si>
  <si>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</si>
  <si>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</si>
  <si>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</si>
  <si>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</si>
  <si>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</si>
  <si>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</si>
  <si>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</si>
  <si>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</si>
  <si>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</si>
  <si>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</si>
  <si>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</si>
  <si>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</si>
  <si>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</si>
  <si>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</si>
  <si>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</si>
  <si>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</si>
  <si>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</si>
  <si>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</si>
  <si>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</si>
  <si>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</si>
  <si>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</si>
  <si>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</si>
  <si>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</si>
  <si>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</si>
  <si>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</si>
  <si>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</si>
  <si>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</si>
  <si>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</si>
  <si>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</si>
  <si>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</si>
  <si>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</si>
  <si>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</si>
  <si>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</si>
  <si>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</si>
  <si>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</si>
  <si>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</si>
  <si>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</si>
  <si>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</si>
  <si>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</si>
  <si>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</si>
  <si>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</si>
  <si>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</si>
  <si>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</si>
  <si>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</si>
  <si>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</si>
  <si>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</si>
  <si>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</si>
  <si>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</si>
  <si>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</si>
  <si>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</si>
  <si>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</si>
  <si>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</si>
  <si>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</si>
  <si>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</si>
  <si>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</si>
  <si>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</si>
  <si>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</si>
  <si>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</si>
  <si>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</si>
  <si>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</si>
  <si>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</si>
  <si>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</si>
  <si>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</si>
  <si>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</si>
  <si>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</si>
  <si>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</si>
  <si>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</si>
  <si>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</si>
  <si>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</si>
  <si>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</si>
  <si>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</si>
  <si>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</si>
  <si>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</si>
  <si>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</si>
  <si>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</si>
  <si>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</si>
  <si>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</si>
  <si>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</si>
  <si>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</si>
  <si>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</si>
  <si>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</si>
  <si>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</si>
  <si>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</si>
  <si>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</si>
  <si>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</si>
  <si>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</si>
  <si>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</si>
  <si>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</si>
  <si>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</si>
  <si>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</si>
  <si>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</si>
  <si>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</si>
  <si>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</si>
  <si>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</si>
  <si>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</si>
  <si>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</si>
  <si>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</si>
  <si>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</si>
  <si>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</si>
  <si>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</si>
  <si>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</si>
  <si>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</si>
  <si>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</si>
  <si>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</si>
  <si>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</si>
  <si>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</si>
  <si>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</si>
  <si>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</si>
  <si>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</si>
  <si>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</si>
  <si>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</si>
  <si>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</si>
  <si>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</si>
  <si>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</si>
  <si>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</si>
  <si>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</si>
  <si>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</si>
  <si>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</si>
  <si>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</si>
  <si>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</si>
  <si>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</si>
  <si>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</si>
  <si>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</si>
  <si>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</si>
  <si>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</si>
  <si>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</si>
  <si>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</si>
  <si>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</si>
  <si>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</si>
  <si>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</si>
  <si>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</si>
  <si>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</si>
  <si>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</si>
  <si>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</si>
  <si>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</si>
  <si>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</si>
  <si>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</si>
  <si>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</si>
  <si>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</si>
  <si>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</si>
  <si>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</si>
  <si>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</si>
  <si>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</si>
  <si>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</si>
  <si>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</si>
  <si>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</si>
  <si>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</si>
  <si>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</si>
  <si>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</si>
  <si>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</si>
  <si>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</si>
  <si>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</si>
  <si>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</si>
  <si>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</si>
  <si>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</si>
  <si>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</si>
  <si>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</si>
  <si>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</si>
  <si>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</si>
  <si>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</si>
  <si>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</si>
  <si>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</si>
  <si>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</si>
  <si>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</si>
  <si>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</si>
  <si>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</si>
  <si>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</si>
  <si>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</si>
  <si>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</si>
  <si>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</si>
  <si>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</si>
  <si>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</si>
  <si>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</si>
  <si>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</si>
  <si>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</si>
  <si>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</si>
  <si>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</si>
  <si>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</si>
  <si>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</si>
  <si>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</si>
  <si>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</si>
  <si>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</si>
  <si>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</si>
  <si>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</si>
  <si>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</si>
  <si>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</si>
  <si>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</si>
  <si>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</si>
  <si>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</si>
  <si>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</si>
  <si>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</si>
  <si>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</si>
  <si>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</si>
  <si>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</si>
  <si>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</si>
  <si>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</si>
  <si>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</si>
  <si>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</si>
  <si>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</si>
  <si>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</si>
  <si>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</si>
  <si>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</si>
  <si>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</si>
  <si>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</si>
  <si>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</si>
  <si>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</si>
  <si>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</si>
  <si>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</si>
  <si>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</si>
  <si>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</si>
  <si>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</si>
  <si>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</si>
  <si>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</si>
  <si>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</si>
  <si>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</si>
  <si>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</si>
  <si>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</si>
  <si>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</si>
  <si>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</si>
  <si>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</si>
  <si>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</si>
  <si>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</si>
  <si>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</si>
  <si>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</si>
  <si>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</si>
  <si>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</si>
  <si>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</si>
  <si>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</si>
  <si>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</si>
  <si>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</si>
  <si>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</si>
  <si>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</si>
  <si>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</si>
  <si>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</si>
  <si>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</si>
  <si>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</si>
  <si>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</si>
  <si>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</si>
  <si>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</si>
  <si>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</si>
  <si>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</si>
  <si>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</si>
  <si>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</si>
  <si>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</si>
  <si>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</si>
  <si>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</si>
  <si>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</si>
  <si>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</si>
  <si>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</si>
  <si>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</si>
  <si>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</si>
  <si>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</si>
  <si>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</si>
  <si>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</si>
  <si>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</si>
  <si>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</si>
  <si>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</si>
  <si>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</si>
  <si>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</si>
  <si>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</si>
  <si>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</si>
  <si>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</si>
  <si>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</si>
  <si>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</si>
  <si>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</si>
  <si>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</si>
  <si>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</si>
  <si>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</si>
  <si>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</si>
  <si>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</si>
  <si>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</si>
  <si>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</si>
  <si>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</si>
  <si>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</si>
  <si>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</si>
  <si>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</si>
  <si>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</si>
  <si>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</si>
  <si>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</si>
  <si>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</si>
  <si>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</si>
  <si>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</si>
  <si>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</si>
  <si>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</si>
  <si>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</si>
  <si>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</si>
  <si>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</si>
  <si>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</si>
  <si>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</si>
  <si>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</si>
  <si>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</si>
  <si>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</si>
  <si>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</si>
  <si>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</si>
  <si>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</si>
  <si>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</si>
  <si>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</si>
  <si>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</si>
  <si>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</si>
  <si>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</si>
  <si>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</si>
  <si>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</si>
  <si>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</si>
  <si>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</si>
  <si>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</si>
  <si>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</si>
  <si>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</si>
  <si>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</si>
  <si>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</si>
  <si>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</si>
  <si>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</si>
  <si>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</si>
  <si>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</si>
  <si>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</si>
  <si>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</si>
  <si>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</si>
  <si>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</si>
  <si>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</si>
  <si>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</si>
  <si>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</si>
  <si>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</si>
  <si>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</si>
  <si>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</si>
  <si>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</si>
  <si>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</si>
  <si>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</si>
  <si>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</si>
  <si>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</si>
  <si>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</si>
  <si>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</si>
  <si>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</si>
  <si>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</si>
  <si>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</si>
  <si>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</si>
  <si>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</si>
  <si>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</si>
  <si>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</si>
  <si>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</si>
  <si>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</si>
  <si>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</si>
  <si>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</si>
  <si>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</si>
  <si>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</si>
  <si>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</si>
  <si>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</si>
  <si>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</si>
  <si>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</si>
  <si>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</si>
  <si>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</si>
  <si>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</si>
  <si>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</si>
  <si>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</si>
  <si>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</si>
  <si>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</si>
  <si>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</si>
  <si>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</si>
  <si>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</si>
  <si>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</si>
  <si>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</si>
  <si>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</si>
  <si>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</si>
  <si>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</si>
  <si>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</si>
  <si>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</si>
  <si>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</si>
  <si>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</si>
  <si>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</si>
  <si>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</si>
  <si>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</si>
  <si>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</si>
  <si>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</si>
  <si>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</si>
  <si>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</si>
  <si>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</si>
  <si>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</si>
  <si>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</si>
  <si>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</si>
  <si>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</si>
  <si>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</si>
  <si>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</si>
  <si>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</si>
  <si>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</si>
  <si>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</si>
  <si>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</si>
  <si>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</si>
  <si>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</si>
  <si>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</si>
  <si>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</si>
  <si>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</si>
  <si>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</si>
  <si>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</si>
  <si>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</si>
  <si>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</si>
  <si>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</si>
  <si>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</si>
  <si>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</si>
  <si>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</si>
  <si>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</si>
  <si>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</si>
  <si>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</si>
  <si>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</si>
  <si>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</si>
  <si>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</si>
  <si>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</si>
  <si>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</si>
  <si>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</si>
  <si>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</si>
  <si>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</si>
  <si>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</si>
  <si>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</si>
  <si>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</si>
  <si>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</si>
  <si>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</si>
  <si>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</si>
  <si>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</si>
  <si>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</si>
  <si>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</si>
  <si>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</si>
  <si>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</si>
  <si>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</si>
  <si>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</si>
  <si>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</si>
  <si>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</si>
  <si>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</si>
  <si>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</si>
  <si>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</si>
  <si>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</si>
  <si>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</si>
  <si>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</si>
  <si>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</si>
  <si>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</si>
  <si>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</si>
  <si>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</si>
  <si>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</si>
  <si>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</si>
  <si>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</si>
  <si>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</si>
  <si>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</si>
  <si>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</si>
  <si>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</si>
  <si>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</si>
  <si>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</si>
  <si>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</si>
  <si>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</si>
  <si>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</si>
  <si>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</si>
  <si>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</si>
  <si>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</si>
  <si>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</si>
  <si>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</si>
  <si>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</si>
  <si>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</si>
  <si>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</si>
  <si>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</si>
  <si>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</si>
  <si>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</si>
  <si>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</si>
  <si>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</si>
  <si>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</si>
  <si>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</si>
  <si>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</si>
  <si>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</si>
  <si>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</si>
  <si>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</si>
  <si>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</si>
  <si>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</si>
  <si>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</si>
  <si>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</si>
  <si>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</si>
  <si>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</si>
  <si>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</si>
  <si>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</si>
  <si>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</si>
  <si>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</si>
  <si>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</si>
  <si>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</si>
  <si>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</si>
  <si>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</si>
  <si>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</si>
  <si>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</si>
  <si>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</si>
  <si>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</si>
  <si>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</si>
  <si>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</si>
  <si>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</si>
  <si>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</si>
  <si>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</si>
  <si>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</si>
  <si>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</si>
  <si>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</si>
  <si>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</si>
  <si>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</si>
  <si>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</si>
  <si>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</si>
  <si>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</si>
  <si>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</si>
  <si>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</si>
  <si>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</si>
  <si>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</si>
  <si>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</si>
  <si>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</si>
  <si>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</si>
  <si>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</si>
  <si>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</si>
  <si>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</si>
  <si>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</si>
  <si>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</si>
  <si>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</si>
  <si>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</si>
  <si>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</si>
  <si>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</si>
  <si>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</si>
  <si>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</si>
  <si>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</si>
  <si>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</si>
  <si>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</si>
  <si>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</si>
  <si>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</si>
  <si>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</si>
  <si>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</si>
  <si>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</si>
  <si>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</si>
  <si>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</si>
  <si>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</si>
  <si>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</si>
  <si>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</si>
  <si>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</si>
  <si>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</si>
  <si>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</si>
  <si>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</si>
  <si>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</si>
  <si>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</si>
  <si>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</si>
  <si>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</si>
  <si>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</si>
  <si>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</si>
  <si>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</si>
  <si>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</si>
  <si>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</si>
  <si>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</si>
  <si>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</si>
  <si>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</si>
  <si>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</si>
  <si>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</si>
  <si>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</si>
  <si>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</si>
  <si>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</si>
  <si>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</si>
  <si>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</si>
  <si>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</si>
  <si>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</si>
  <si>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</si>
  <si>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</si>
  <si>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</si>
  <si>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</si>
  <si>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</si>
  <si>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</si>
  <si>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</si>
  <si>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</si>
  <si>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</si>
  <si>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</si>
  <si>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</si>
  <si>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</si>
  <si>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</si>
  <si>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</si>
  <si>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</si>
  <si>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</si>
  <si>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</si>
  <si>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</si>
  <si>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</si>
  <si>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</si>
  <si>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</si>
  <si>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</si>
  <si>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</si>
  <si>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</si>
  <si>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</si>
  <si>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</si>
  <si>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</si>
  <si>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</si>
  <si>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</si>
  <si>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</si>
  <si>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</si>
  <si>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</si>
  <si>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</si>
  <si>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</si>
  <si>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</si>
  <si>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</si>
  <si>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</si>
  <si>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</si>
  <si>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</si>
  <si>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</si>
  <si>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</si>
  <si>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</si>
  <si>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</si>
  <si>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</si>
  <si>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</si>
  <si>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</si>
  <si>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</si>
  <si>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</si>
  <si>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</si>
  <si>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</si>
  <si>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</si>
  <si>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</si>
  <si>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</si>
  <si>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</si>
  <si>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</si>
  <si>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</si>
  <si>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</si>
  <si>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</si>
  <si>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</si>
  <si>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</si>
  <si>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</si>
  <si>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</si>
  <si>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</si>
  <si>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</si>
  <si>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</si>
  <si>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</si>
  <si>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</si>
  <si>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</si>
  <si>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</si>
  <si>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</si>
  <si>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</si>
  <si>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</si>
  <si>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</si>
  <si>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</si>
  <si>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</si>
  <si>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</si>
  <si>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</si>
  <si>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</si>
  <si>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</si>
  <si>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</si>
  <si>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</si>
  <si>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</si>
  <si>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</si>
  <si>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</si>
  <si>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</si>
  <si>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</si>
  <si>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</si>
  <si>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</si>
  <si>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</si>
  <si>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</si>
  <si>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</si>
  <si>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</si>
  <si>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</si>
  <si>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</si>
  <si>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</si>
  <si>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</si>
  <si>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</si>
  <si>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</si>
  <si>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</si>
  <si>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</si>
  <si>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</si>
  <si>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</si>
  <si>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</si>
  <si>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</si>
  <si>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</si>
  <si>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</si>
  <si>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</si>
  <si>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</si>
  <si>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</si>
  <si>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</si>
  <si>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</si>
  <si>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</si>
  <si>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</si>
  <si>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</si>
  <si>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</si>
  <si>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</si>
  <si>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</si>
  <si>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</si>
  <si>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</si>
  <si>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</si>
  <si>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</si>
  <si>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</si>
  <si>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</si>
  <si>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</si>
  <si>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</si>
  <si>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</si>
  <si>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</si>
  <si>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</si>
  <si>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</si>
  <si>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</si>
  <si>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</si>
  <si>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</si>
  <si>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</si>
  <si>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</si>
  <si>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</si>
  <si>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</si>
  <si>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</si>
  <si>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</si>
  <si>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</si>
  <si>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</si>
  <si>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</si>
  <si>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</si>
  <si>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</si>
  <si>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</si>
  <si>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</si>
  <si>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</si>
  <si>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</si>
  <si>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</si>
  <si>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</si>
  <si>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</si>
  <si>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</si>
  <si>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</si>
  <si>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</si>
  <si>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</si>
  <si>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</si>
  <si>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</si>
  <si>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</si>
  <si>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</si>
  <si>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</si>
  <si>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</si>
  <si>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</si>
  <si>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</si>
  <si>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</si>
  <si>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</si>
  <si>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</si>
  <si>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</si>
  <si>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</si>
  <si>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</si>
  <si>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</si>
  <si>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</si>
  <si>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</si>
  <si>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</si>
  <si>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</si>
  <si>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</si>
  <si>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</si>
  <si>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</si>
  <si>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</si>
  <si>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</si>
  <si>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</si>
  <si>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</si>
  <si>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</si>
  <si>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</si>
  <si>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</si>
  <si>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</si>
  <si>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</si>
  <si>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</si>
  <si>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</si>
  <si>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</si>
  <si>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</si>
  <si>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</si>
  <si>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</si>
  <si>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</si>
  <si>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</si>
  <si>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</si>
  <si>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</si>
  <si>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</si>
  <si>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</si>
  <si>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</si>
  <si>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</si>
  <si>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</si>
  <si>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</si>
  <si>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</si>
  <si>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</si>
  <si>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</si>
  <si>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</si>
  <si>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</si>
  <si>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</si>
  <si>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</si>
  <si>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</si>
  <si>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</si>
  <si>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</si>
  <si>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</si>
  <si>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</si>
  <si>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</si>
  <si>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</si>
  <si>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</si>
  <si>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</si>
  <si>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</si>
  <si>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</si>
  <si>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</si>
  <si>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</si>
  <si>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</si>
  <si>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</si>
  <si>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</si>
  <si>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</si>
  <si>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</si>
  <si>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</si>
  <si>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</si>
  <si>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</si>
  <si>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</si>
  <si>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</si>
  <si>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</si>
  <si>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</si>
  <si>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</si>
  <si>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</si>
  <si>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</si>
  <si>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</si>
  <si>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</si>
  <si>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</si>
  <si>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</si>
  <si>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</si>
  <si>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</si>
  <si>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</si>
  <si>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</si>
  <si>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</si>
  <si>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</si>
  <si>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</si>
  <si>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</si>
  <si>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</si>
  <si>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</si>
  <si>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</si>
  <si>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</si>
  <si>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</si>
  <si>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</si>
  <si>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</si>
  <si>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</si>
  <si>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</si>
  <si>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</si>
  <si>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</si>
  <si>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</si>
  <si>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</si>
  <si>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</si>
  <si>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</si>
  <si>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</si>
  <si>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</si>
  <si>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</si>
  <si>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</si>
  <si>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</si>
  <si>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</si>
  <si>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</si>
  <si>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</si>
  <si>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</si>
  <si>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</si>
  <si>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</si>
  <si>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</si>
  <si>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</si>
  <si>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</si>
  <si>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</si>
  <si>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</si>
  <si>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</si>
  <si>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</si>
  <si>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</si>
  <si>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</si>
  <si>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</si>
  <si>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</si>
  <si>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</si>
  <si>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</si>
  <si>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</si>
  <si>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</si>
  <si>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</si>
  <si>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</si>
  <si>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</si>
  <si>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</si>
  <si>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</si>
  <si>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</si>
  <si>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</si>
  <si>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</si>
  <si>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</si>
  <si>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</si>
  <si>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</si>
  <si>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</si>
  <si>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</si>
  <si>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</si>
  <si>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</si>
  <si>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</si>
  <si>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</si>
  <si>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</si>
  <si>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</si>
  <si>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</si>
  <si>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</si>
  <si>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</si>
  <si>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</si>
  <si>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</si>
  <si>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</si>
  <si>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</si>
  <si>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</si>
  <si>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</si>
  <si>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</si>
  <si>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</si>
  <si>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</si>
  <si>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</si>
  <si>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</si>
  <si>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</si>
  <si>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</si>
  <si>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</si>
  <si>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</si>
  <si>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</si>
  <si>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</si>
  <si>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</si>
  <si>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</si>
  <si>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</si>
  <si>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</si>
  <si>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</si>
  <si>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</si>
  <si>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</si>
  <si>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</si>
  <si>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</si>
  <si>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</si>
  <si>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</si>
  <si>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</si>
  <si>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</si>
  <si>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</si>
  <si>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</si>
  <si>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</si>
  <si>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</si>
  <si>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</si>
  <si>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</si>
  <si>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</si>
  <si>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</si>
  <si>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</si>
  <si>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</si>
  <si>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</si>
  <si>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</si>
  <si>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</si>
  <si>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</si>
  <si>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</si>
  <si>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</si>
  <si>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</si>
  <si>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</si>
  <si>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</si>
  <si>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</si>
  <si>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</si>
  <si>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</si>
  <si>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</si>
  <si>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</si>
  <si>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</si>
  <si>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</si>
  <si>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</si>
  <si>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</si>
  <si>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</si>
  <si>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</si>
  <si>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</si>
  <si>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</si>
  <si>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</si>
  <si>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</si>
  <si>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</si>
  <si>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</si>
  <si>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</si>
  <si>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</si>
  <si>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</si>
  <si>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</si>
  <si>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</si>
  <si>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</si>
  <si>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</si>
  <si>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</si>
  <si>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</si>
  <si>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</si>
  <si>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</si>
  <si>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</si>
  <si>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</si>
  <si>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</si>
  <si>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</si>
  <si>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</si>
  <si>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</si>
  <si>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</si>
  <si>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</si>
  <si>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</si>
  <si>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</si>
  <si>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</si>
  <si>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</si>
  <si>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</si>
  <si>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</si>
  <si>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</si>
  <si>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</si>
  <si>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</si>
  <si>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</si>
  <si>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</si>
  <si>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</si>
  <si>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</si>
  <si>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</si>
  <si>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</si>
  <si>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</si>
  <si>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</si>
  <si>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</si>
  <si>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</si>
  <si>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</si>
  <si>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</si>
  <si>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</si>
  <si>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</si>
  <si>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</si>
  <si>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</si>
  <si>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</si>
  <si>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</si>
  <si>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</si>
  <si>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</si>
  <si>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</si>
  <si>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</si>
  <si>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</si>
  <si>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</si>
  <si>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</si>
  <si>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</si>
  <si>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</si>
  <si>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</si>
  <si>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</si>
  <si>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</si>
  <si>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</si>
  <si>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</si>
  <si>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</si>
  <si>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</si>
  <si>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</si>
  <si>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</si>
  <si>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</si>
  <si>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</si>
  <si>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</si>
  <si>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</si>
  <si>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</si>
  <si>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</si>
  <si>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</si>
  <si>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</si>
  <si>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</si>
  <si>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</si>
  <si>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</si>
  <si>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</si>
  <si>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</si>
  <si>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</si>
  <si>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</si>
  <si>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</si>
  <si>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</si>
  <si>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</si>
  <si>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</si>
  <si>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</si>
  <si>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</si>
  <si>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</si>
  <si>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</si>
  <si>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</si>
  <si>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</si>
  <si>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</si>
  <si>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</si>
  <si>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</si>
  <si>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</si>
  <si>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</si>
  <si>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</si>
  <si>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</si>
  <si>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</si>
  <si>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</si>
  <si>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</si>
  <si>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</si>
  <si>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</si>
  <si>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</si>
  <si>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</si>
  <si>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</si>
  <si>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</si>
  <si>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</si>
  <si>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</si>
  <si>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</si>
  <si>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</si>
  <si>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</si>
  <si>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</si>
  <si>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</si>
  <si>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</si>
  <si>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</si>
  <si>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</si>
  <si>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</si>
  <si>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</si>
  <si>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</si>
  <si>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</si>
  <si>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</si>
  <si>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</si>
  <si>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</si>
  <si>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</si>
  <si>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</si>
  <si>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</si>
  <si>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</si>
  <si>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</si>
  <si>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</si>
  <si>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</si>
  <si>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</si>
  <si>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</si>
  <si>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</si>
  <si>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</si>
  <si>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</si>
  <si>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</si>
  <si>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</si>
  <si>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</si>
  <si>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</si>
  <si>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</si>
  <si>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</si>
  <si>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</si>
  <si>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</si>
  <si>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</si>
  <si>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</si>
  <si>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</si>
  <si>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</si>
  <si>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</si>
  <si>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</si>
  <si>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</si>
  <si>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</si>
  <si>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</si>
  <si>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</si>
  <si>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</si>
  <si>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</si>
  <si>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</si>
  <si>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</si>
  <si>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</si>
  <si>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</si>
  <si>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</si>
  <si>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</si>
  <si>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</si>
  <si>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</si>
  <si>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</si>
  <si>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</si>
  <si>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</si>
  <si>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</si>
  <si>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</si>
  <si>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</si>
  <si>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</si>
  <si>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</si>
  <si>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</si>
  <si>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</si>
  <si>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</si>
  <si>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</si>
  <si>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</si>
  <si>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</si>
  <si>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</si>
  <si>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</si>
  <si>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</si>
  <si>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</si>
  <si>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</si>
  <si>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</si>
  <si>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</si>
  <si>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</si>
  <si>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</si>
  <si>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</si>
  <si>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</si>
  <si>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</si>
  <si>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</si>
  <si>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</si>
  <si>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</si>
  <si>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</si>
  <si>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</si>
  <si>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</si>
  <si>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</si>
  <si>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</si>
  <si>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</si>
  <si>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</si>
  <si>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</si>
  <si>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</si>
  <si>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</si>
  <si>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</si>
  <si>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</si>
  <si>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</si>
  <si>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</si>
  <si>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</si>
  <si>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</si>
  <si>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</si>
  <si>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</si>
  <si>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</si>
  <si>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</si>
  <si>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</si>
  <si>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</si>
  <si>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</si>
  <si>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</si>
  <si>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</si>
  <si>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</si>
  <si>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</si>
  <si>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</si>
  <si>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</si>
  <si>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</si>
  <si>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</si>
  <si>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</si>
  <si>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</si>
  <si>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</si>
  <si>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</si>
  <si>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</si>
  <si>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</si>
  <si>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</si>
  <si>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</si>
  <si>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</si>
  <si>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</si>
  <si>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</si>
  <si>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</si>
  <si>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</si>
  <si>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</si>
  <si>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</si>
  <si>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</si>
  <si>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</si>
  <si>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</si>
  <si>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</si>
  <si>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</si>
  <si>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</si>
  <si>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</si>
  <si>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</si>
  <si>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</si>
  <si>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</si>
  <si>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</si>
  <si>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</si>
  <si>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</si>
  <si>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</si>
  <si>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</si>
  <si>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</si>
  <si>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</si>
  <si>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</si>
  <si>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</si>
  <si>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</si>
  <si>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</si>
  <si>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</si>
  <si>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</si>
  <si>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</si>
  <si>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</si>
  <si>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</si>
  <si>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</si>
  <si>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</si>
  <si>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</si>
  <si>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</si>
  <si>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</si>
  <si>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</si>
  <si>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</si>
  <si>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</si>
  <si>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</si>
  <si>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</si>
  <si>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</si>
  <si>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</si>
  <si>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</si>
  <si>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</si>
  <si>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</si>
  <si>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</si>
  <si>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</si>
  <si>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</si>
  <si>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</si>
  <si>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</si>
  <si>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</si>
  <si>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</si>
  <si>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</si>
  <si>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</si>
  <si>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</si>
  <si>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</si>
  <si>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</si>
  <si>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</si>
  <si>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</si>
  <si>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</si>
  <si>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</si>
  <si>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</si>
  <si>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</si>
  <si>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</si>
  <si>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</si>
  <si>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</si>
  <si>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</si>
  <si>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</si>
  <si>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</si>
  <si>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</si>
  <si>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</si>
  <si>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</si>
  <si>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</si>
  <si>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</si>
  <si>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</si>
  <si>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</si>
  <si>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</si>
  <si>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</si>
  <si>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</si>
  <si>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</si>
  <si>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</si>
  <si>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</si>
  <si>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</si>
  <si>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</si>
  <si>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</si>
  <si>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</si>
  <si>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</si>
  <si>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</si>
  <si>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</si>
  <si>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</si>
  <si>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</si>
  <si>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</si>
  <si>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</si>
  <si>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</si>
  <si>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</si>
  <si>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</si>
  <si>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</si>
  <si>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</si>
  <si>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</si>
  <si>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</si>
  <si>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</si>
  <si>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</si>
  <si>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</si>
  <si>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</si>
  <si>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</si>
  <si>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</si>
  <si>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</si>
  <si>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</si>
  <si>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</si>
  <si>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</si>
  <si>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</si>
  <si>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</si>
  <si>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</si>
  <si>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</si>
  <si>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</si>
  <si>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</si>
  <si>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</si>
  <si>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</si>
  <si>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</si>
  <si>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</si>
  <si>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</si>
  <si>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</si>
  <si>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</si>
  <si>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</si>
  <si>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</si>
  <si>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</si>
  <si>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</si>
  <si>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</si>
  <si>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</si>
  <si>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</si>
  <si>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</si>
  <si>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</si>
  <si>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</si>
  <si>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</si>
  <si>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</si>
  <si>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</si>
  <si>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</si>
  <si>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</si>
  <si>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</si>
  <si>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</si>
  <si>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</si>
  <si>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</si>
  <si>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</si>
  <si>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</si>
  <si>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</si>
  <si>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</si>
  <si>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</si>
  <si>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</si>
  <si>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</si>
  <si>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</si>
  <si>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</si>
  <si>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</si>
  <si>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</si>
  <si>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</si>
  <si>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</si>
  <si>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</si>
  <si>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</si>
  <si>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</si>
  <si>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</si>
  <si>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</si>
  <si>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</si>
  <si>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</si>
  <si>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</si>
  <si>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</si>
  <si>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</si>
  <si>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</si>
  <si>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</si>
  <si>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</si>
  <si>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</si>
  <si>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</si>
  <si>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</si>
  <si>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</si>
  <si>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</si>
  <si>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</si>
  <si>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</si>
  <si>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</si>
  <si>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</si>
  <si>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</si>
  <si>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</si>
  <si>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</si>
  <si>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</si>
  <si>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</si>
  <si>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</si>
  <si>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</si>
  <si>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</si>
  <si>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</si>
  <si>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</si>
  <si>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</si>
  <si>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</si>
  <si>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</si>
  <si>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</si>
  <si>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</si>
  <si>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</si>
  <si>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</si>
  <si>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</si>
  <si>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</si>
  <si>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</si>
  <si>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</si>
  <si>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</si>
  <si>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</si>
  <si>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</si>
  <si>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</si>
  <si>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</si>
  <si>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</si>
  <si>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</si>
  <si>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</si>
  <si>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</si>
  <si>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</si>
  <si>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</si>
  <si>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</si>
  <si>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</si>
  <si>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</si>
  <si>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</si>
  <si>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</si>
  <si>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</si>
  <si>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</si>
  <si>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</si>
  <si>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</si>
  <si>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</si>
  <si>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</si>
  <si>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</si>
  <si>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</si>
  <si>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</si>
  <si>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</si>
  <si>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</si>
  <si>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</si>
  <si>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</si>
  <si>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</si>
  <si>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</si>
  <si>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</si>
  <si>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</si>
  <si>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</si>
  <si>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</si>
  <si>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</si>
  <si>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</si>
  <si>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</si>
  <si>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</si>
  <si>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</si>
  <si>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</si>
  <si>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</si>
  <si>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</si>
  <si>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</si>
  <si>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</si>
  <si>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</si>
  <si>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</si>
  <si>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</si>
  <si>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</si>
  <si>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</si>
  <si>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</si>
  <si>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</si>
  <si>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</si>
  <si>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</si>
  <si>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</si>
  <si>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</si>
  <si>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</si>
  <si>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</si>
  <si>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</si>
  <si>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</si>
  <si>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</si>
  <si>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</si>
  <si>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</si>
  <si>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</si>
  <si>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</si>
  <si>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</si>
  <si>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</si>
  <si>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</si>
  <si>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</si>
  <si>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</si>
  <si>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</si>
  <si>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</si>
  <si>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</si>
  <si>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</si>
  <si>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</si>
  <si>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</si>
  <si>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</si>
  <si>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</si>
  <si>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</si>
  <si>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</si>
  <si>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</si>
  <si>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</si>
  <si>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</si>
  <si>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</si>
  <si>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</si>
  <si>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</si>
  <si>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</si>
  <si>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</si>
  <si>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</si>
  <si>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</si>
  <si>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</si>
  <si>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</si>
  <si>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</si>
  <si>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</si>
  <si>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</si>
  <si>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</si>
  <si>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</si>
  <si>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</si>
  <si>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</si>
  <si>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</si>
  <si>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</si>
  <si>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</si>
  <si>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</si>
  <si>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</si>
  <si>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</si>
  <si>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</si>
  <si>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</si>
  <si>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</si>
  <si>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</si>
  <si>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</si>
  <si>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</si>
  <si>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</si>
  <si>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</si>
  <si>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</si>
  <si>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</si>
  <si>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</si>
  <si>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</si>
  <si>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</si>
  <si>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</si>
  <si>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</si>
  <si>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</si>
  <si>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</si>
  <si>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</si>
  <si>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</si>
  <si>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</si>
  <si>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</si>
  <si>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</si>
  <si>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</si>
  <si>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</si>
  <si>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</si>
  <si>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</si>
  <si>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</si>
  <si>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</si>
  <si>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</si>
  <si>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</si>
  <si>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</si>
  <si>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</si>
  <si>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</si>
  <si>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</si>
  <si>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</si>
  <si>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</si>
  <si>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</si>
  <si>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</si>
  <si>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</si>
  <si>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</si>
  <si>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</si>
  <si>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</si>
  <si>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</si>
  <si>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</si>
  <si>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</si>
  <si>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</si>
  <si>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</si>
  <si>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</si>
  <si>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</si>
  <si>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</si>
  <si>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</si>
  <si>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</si>
  <si>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</si>
  <si>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</si>
  <si>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</si>
  <si>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</si>
  <si>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</si>
  <si>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</si>
  <si>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</si>
  <si>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</si>
  <si>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</si>
  <si>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</si>
  <si>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</si>
  <si>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</si>
  <si>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</si>
  <si>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</si>
  <si>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</si>
  <si>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</si>
  <si>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</si>
  <si>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</si>
  <si>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</si>
  <si>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</si>
  <si>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</si>
  <si>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</si>
  <si>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</si>
  <si>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</si>
  <si>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</si>
  <si>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</si>
  <si>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</si>
  <si>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</si>
  <si>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</si>
  <si>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</si>
  <si>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</si>
  <si>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</si>
  <si>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</si>
  <si>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</si>
  <si>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</si>
  <si>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</si>
  <si>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</si>
  <si>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</si>
  <si>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</si>
  <si>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</si>
  <si>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</si>
  <si>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</si>
  <si>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</si>
  <si>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</si>
  <si>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</si>
  <si>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</si>
  <si>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</si>
  <si>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</si>
  <si>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</si>
  <si>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</si>
  <si>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</si>
  <si>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</si>
  <si>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</si>
  <si>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</si>
  <si>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</si>
  <si>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</si>
  <si>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</si>
  <si>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</si>
  <si>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</si>
  <si>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</si>
  <si>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</si>
  <si>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</si>
  <si>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</si>
  <si>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</si>
  <si>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</si>
  <si>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</si>
  <si>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</si>
  <si>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</si>
  <si>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</si>
  <si>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</si>
  <si>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</si>
  <si>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</si>
  <si>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</si>
  <si>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</si>
  <si>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</si>
  <si>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</si>
  <si>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</si>
  <si>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</si>
  <si>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</si>
  <si>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</si>
  <si>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</si>
  <si>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</si>
  <si>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</si>
  <si>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</si>
  <si>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</si>
  <si>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</si>
  <si>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</si>
  <si>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</si>
  <si>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</si>
  <si>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</si>
  <si>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</si>
  <si>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</si>
  <si>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</si>
  <si>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</si>
  <si>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</si>
  <si>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</si>
  <si>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</si>
  <si>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</si>
  <si>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</si>
  <si>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</si>
  <si>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</si>
  <si>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</si>
  <si>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</si>
  <si>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</si>
  <si>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</si>
  <si>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</si>
  <si>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</si>
  <si>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</si>
  <si>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</si>
  <si>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</si>
  <si>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</si>
  <si>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</si>
  <si>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</si>
  <si>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</si>
  <si>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</si>
  <si>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</si>
  <si>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</si>
  <si>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</si>
  <si>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</si>
  <si>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</si>
  <si>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</si>
  <si>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</si>
  <si>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</si>
  <si>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</si>
  <si>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</si>
  <si>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</si>
  <si>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</si>
  <si>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</si>
  <si>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</si>
  <si>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</si>
  <si>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</si>
  <si>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</si>
  <si>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</si>
  <si>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</si>
  <si>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</si>
  <si>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</si>
  <si>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</si>
  <si>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</si>
  <si>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</si>
  <si>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</si>
  <si>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</si>
  <si>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</si>
  <si>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</si>
  <si>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</si>
  <si>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</si>
  <si>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</si>
  <si>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</si>
  <si>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</si>
  <si>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</si>
  <si>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</si>
  <si>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</si>
  <si>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</si>
  <si>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</si>
  <si>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</si>
  <si>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</si>
  <si>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</si>
  <si>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</si>
  <si>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</si>
  <si>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</si>
  <si>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</si>
  <si>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</si>
  <si>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</si>
  <si>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</si>
  <si>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</si>
  <si>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</si>
  <si>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</si>
  <si>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</si>
  <si>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</si>
  <si>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</si>
  <si>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</si>
  <si>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</si>
  <si>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</si>
  <si>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</si>
  <si>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</si>
  <si>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</si>
  <si>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</si>
  <si>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</si>
  <si>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</si>
  <si>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</si>
  <si>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</si>
  <si>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</si>
  <si>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</si>
  <si>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</si>
  <si>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</si>
  <si>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</si>
  <si>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</si>
  <si>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</si>
  <si>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</si>
  <si>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</si>
  <si>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</si>
  <si>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</si>
  <si>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</si>
  <si>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</si>
  <si>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</si>
  <si>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</si>
  <si>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</si>
  <si>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</si>
  <si>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</si>
  <si>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</si>
  <si>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</si>
  <si>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</si>
  <si>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</si>
  <si>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</si>
  <si>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</si>
  <si>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</si>
  <si>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</si>
  <si>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</si>
  <si>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</si>
  <si>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</si>
  <si>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</si>
  <si>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</si>
  <si>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</si>
  <si>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</si>
  <si>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</si>
  <si>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</si>
  <si>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</si>
  <si>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</si>
  <si>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</si>
  <si>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</si>
  <si>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</si>
  <si>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</si>
  <si>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</si>
  <si>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</si>
  <si>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</si>
  <si>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</si>
  <si>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</si>
  <si>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</si>
  <si>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</si>
  <si>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</si>
  <si>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</si>
  <si>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</si>
  <si>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</si>
  <si>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</si>
  <si>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</si>
  <si>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</si>
  <si>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</si>
  <si>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</si>
  <si>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</si>
  <si>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</si>
  <si>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</si>
  <si>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</si>
  <si>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</si>
  <si>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</si>
  <si>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</si>
  <si>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</si>
  <si>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</si>
  <si>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</si>
  <si>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</si>
  <si>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</si>
  <si>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</si>
  <si>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</si>
  <si>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</si>
  <si>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</si>
  <si>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</si>
  <si>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</si>
  <si>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</si>
  <si>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</si>
  <si>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</si>
  <si>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</si>
  <si>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</si>
  <si>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</si>
  <si>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</si>
  <si>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</si>
  <si>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</si>
  <si>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</si>
  <si>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</si>
  <si>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</si>
  <si>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</si>
  <si>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</si>
  <si>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</si>
  <si>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</si>
  <si>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</si>
  <si>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</si>
  <si>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</si>
  <si>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</si>
  <si>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</si>
  <si>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</si>
  <si>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</si>
  <si>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</si>
  <si>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</si>
  <si>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</si>
  <si>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</si>
  <si>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</si>
  <si>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</si>
  <si>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</si>
  <si>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</si>
  <si>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</si>
  <si>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</si>
  <si>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</si>
  <si>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</si>
  <si>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</si>
  <si>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</si>
  <si>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</si>
  <si>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</si>
  <si>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</si>
  <si>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</si>
  <si>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</si>
  <si>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</si>
  <si>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</si>
  <si>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</si>
  <si>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</si>
  <si>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</si>
  <si>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</si>
  <si>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</si>
  <si>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</si>
  <si>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</si>
  <si>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</si>
  <si>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</si>
  <si>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</si>
  <si>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</si>
  <si>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</si>
  <si>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</si>
  <si>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</si>
  <si>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</si>
  <si>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</si>
  <si>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</si>
  <si>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</si>
  <si>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</si>
  <si>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</si>
  <si>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</si>
  <si>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</si>
  <si>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</si>
  <si>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</si>
  <si>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</si>
  <si>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</si>
  <si>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</si>
  <si>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</si>
  <si>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</si>
  <si>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</si>
  <si>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</si>
  <si>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</si>
  <si>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</si>
  <si>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</si>
  <si>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</si>
  <si>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</si>
  <si>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</si>
  <si>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</si>
  <si>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</si>
  <si>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</si>
  <si>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</si>
  <si>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</si>
  <si>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</si>
  <si>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</si>
  <si>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</si>
  <si>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</si>
  <si>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</si>
  <si>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</si>
  <si>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</si>
  <si>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</si>
  <si>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</si>
  <si>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</si>
  <si>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</si>
  <si>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</si>
  <si>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</si>
  <si>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</si>
  <si>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</si>
  <si>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</si>
  <si>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</si>
  <si>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</si>
  <si>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</si>
  <si>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</si>
  <si>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</si>
  <si>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</si>
  <si>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</si>
  <si>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</si>
  <si>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</si>
  <si>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</si>
  <si>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</si>
  <si>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</si>
  <si>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</si>
  <si>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</si>
  <si>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</si>
  <si>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</si>
  <si>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</si>
  <si>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</si>
  <si>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</si>
  <si>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</si>
  <si>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</si>
  <si>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</si>
  <si>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</si>
  <si>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</si>
  <si>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</si>
  <si>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</si>
  <si>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</si>
  <si>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</si>
  <si>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</si>
  <si>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</si>
  <si>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</si>
  <si>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</si>
  <si>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</si>
  <si>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</si>
  <si>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</si>
  <si>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</si>
  <si>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</si>
  <si>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</si>
  <si>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</si>
  <si>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</si>
  <si>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</si>
  <si>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</si>
  <si>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</si>
  <si>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</si>
  <si>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</si>
  <si>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</si>
  <si>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</si>
  <si>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</si>
  <si>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</si>
  <si>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</si>
  <si>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</si>
  <si>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</si>
  <si>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</si>
  <si>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</si>
  <si>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</si>
  <si>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</si>
  <si>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</si>
  <si>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</si>
  <si>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</si>
  <si>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</si>
  <si>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</si>
  <si>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</si>
  <si>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</si>
  <si>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</si>
  <si>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</si>
  <si>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</si>
  <si>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</si>
  <si>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</si>
  <si>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</si>
  <si>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</si>
  <si>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</si>
  <si>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</si>
  <si>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</si>
  <si>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</si>
  <si>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</si>
  <si>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</si>
  <si>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</si>
  <si>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</si>
  <si>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</si>
  <si>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</si>
  <si>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</si>
  <si>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</si>
  <si>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</si>
  <si>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</si>
  <si>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</si>
  <si>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</si>
  <si>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</si>
  <si>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</si>
  <si>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</si>
  <si>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</si>
  <si>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</si>
  <si>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</si>
  <si>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</si>
  <si>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</si>
  <si>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</si>
  <si>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</si>
  <si>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</si>
  <si>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</si>
  <si>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</si>
  <si>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</si>
  <si>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</si>
  <si>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</si>
  <si>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</si>
  <si>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</si>
  <si>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</si>
  <si>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</si>
  <si>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</si>
  <si>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</si>
  <si>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</si>
  <si>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</si>
  <si>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</si>
  <si>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</si>
  <si>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</si>
  <si>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</si>
  <si>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</si>
  <si>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</si>
  <si>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</si>
  <si>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</si>
  <si>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</si>
  <si>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</si>
  <si>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</si>
  <si>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</si>
  <si>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</si>
  <si>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</si>
  <si>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</si>
  <si>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</si>
  <si>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</si>
  <si>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</si>
  <si>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</si>
  <si>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</si>
  <si>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</si>
  <si>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</si>
  <si>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ＭＳ Ｐゴシック"/>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</si>
  <si>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</si>
  <si>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</si>
  <si>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</si>
  <si>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</si>
  <si>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</si>
  <si>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</si>
  <si>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</si>
  <si>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</si>
  <si>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</si>
  <si>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</si>
  <si>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</si>
  <si>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</si>
  <si>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</si>
  <si>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</si>
  <si>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</si>
  <si>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</si>
  <si>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</si>
  <si>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</si>
  <si>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</si>
  <si>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</si>
  <si>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</si>
  <si>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</si>
  <si>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</si>
  <si>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</si>
  <si>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</si>
  <si>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</si>
  <si>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</si>
  <si>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</si>
  <si>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</si>
  <si>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</si>
  <si>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</si>
  <si>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</si>
  <si>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</si>
  <si>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</si>
  <si>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</si>
  <si>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</si>
  <si>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</si>
  <si>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</si>
  <si>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</si>
  <si>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</si>
  <si>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</si>
  <si>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</si>
  <si>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</si>
  <si>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</si>
  <si>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</si>
  <si>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</si>
  <si>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</si>
  <si>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</si>
  <si>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</si>
  <si>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</si>
  <si>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</si>
  <si>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</si>
  <si>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</si>
  <si>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</si>
  <si>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</si>
  <si>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</si>
  <si>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</si>
  <si>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</si>
  <si>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</si>
  <si>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</si>
  <si>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</si>
  <si>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</si>
  <si>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</si>
  <si>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</si>
  <si>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</si>
  <si>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</si>
  <si>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</si>
  <si>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</si>
  <si>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</si>
  <si>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</si>
  <si>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</si>
  <si>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</si>
  <si>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</si>
  <si>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</si>
  <si>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</si>
  <si>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</si>
  <si>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</si>
  <si>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</si>
  <si>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</si>
  <si>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</si>
  <si>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</si>
  <si>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</si>
  <si>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</si>
  <si>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</si>
  <si>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</si>
  <si>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</si>
  <si>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</si>
  <si>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</si>
  <si>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</si>
  <si>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</si>
  <si>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</si>
  <si>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</si>
  <si>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</si>
  <si>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</si>
  <si>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</si>
  <si>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</si>
  <si>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</si>
  <si>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</si>
  <si>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</si>
  <si>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</si>
  <si>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</si>
  <si>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</si>
  <si>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</si>
  <si>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</si>
  <si>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</si>
  <si>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</si>
  <si>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</si>
  <si>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</si>
  <si>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</si>
  <si>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</si>
  <si>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</si>
  <si>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</si>
  <si>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</si>
  <si>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</si>
  <si>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</si>
  <si>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</si>
  <si>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</si>
  <si>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</si>
  <si>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</si>
  <si>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</si>
  <si>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</si>
  <si>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</si>
  <si>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</si>
  <si>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</si>
  <si>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</si>
  <si>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</si>
  <si>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</si>
  <si>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</si>
  <si>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</si>
  <si>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</si>
  <si>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</si>
  <si>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</si>
  <si>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</si>
  <si>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</si>
  <si>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</si>
  <si>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</si>
  <si>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</si>
  <si>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</si>
  <si>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</si>
  <si>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</si>
  <si>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</si>
  <si>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</si>
  <si>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</si>
  <si>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</si>
  <si>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</si>
  <si>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</si>
  <si>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</si>
  <si>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</si>
  <si>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</si>
  <si>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</si>
  <si>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</si>
  <si>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</si>
  <si>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</si>
  <si>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</si>
  <si>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</si>
  <si>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</si>
  <si>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</si>
  <si>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</si>
  <si>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</si>
  <si>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</si>
  <si>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</si>
  <si>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</si>
  <si>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</si>
  <si>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</si>
  <si>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</si>
  <si>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</si>
  <si>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</si>
  <si>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</si>
  <si>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</si>
  <si>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</si>
  <si>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</si>
  <si>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</si>
  <si>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</si>
  <si>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</si>
  <si>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</si>
  <si>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</si>
  <si>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</si>
  <si>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</si>
  <si>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</si>
  <si>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</si>
  <si>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</si>
  <si>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</si>
  <si>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</si>
  <si>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</si>
  <si>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</si>
  <si>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</si>
  <si>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</si>
  <si>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</si>
  <si>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</si>
  <si>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</si>
  <si>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</si>
  <si>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</si>
  <si>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</si>
  <si>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</si>
  <si>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</si>
  <si>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</si>
  <si>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</si>
  <si>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</si>
  <si>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</si>
  <si>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</si>
  <si>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</si>
  <si>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</si>
  <si>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</si>
  <si>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</si>
  <si>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</si>
  <si>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</si>
  <si>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</si>
  <si>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</si>
  <si>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</si>
  <si>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</si>
  <si>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</si>
  <si>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</si>
  <si>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</si>
  <si>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</si>
  <si>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</si>
  <si>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</si>
  <si>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</si>
  <si>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</si>
  <si>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</si>
  <si>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</si>
  <si>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</si>
  <si>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</si>
  <si>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</si>
  <si>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</si>
  <si>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</si>
  <si>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</si>
  <si>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</si>
  <si>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</si>
  <si>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</si>
  <si>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</si>
  <si>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</si>
  <si>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</si>
  <si>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</si>
  <si>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</si>
  <si>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</si>
  <si>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</si>
  <si>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</si>
  <si>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</si>
  <si>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</si>
  <si>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</si>
  <si>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</si>
  <si>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</si>
  <si>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</si>
  <si>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</si>
  <si>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</si>
  <si>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</si>
  <si>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</si>
  <si>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</si>
  <si>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</si>
  <si>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</si>
  <si>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</si>
  <si>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</si>
  <si>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</si>
  <si>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</si>
  <si>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</si>
  <si>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</si>
  <si>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</si>
  <si>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</si>
  <si>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</si>
  <si>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</si>
  <si>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</si>
  <si>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</si>
  <si>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</si>
  <si>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</si>
  <si>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</si>
  <si>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</si>
  <si>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</si>
  <si>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</si>
  <si>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</si>
  <si>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</si>
  <si>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</si>
  <si>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</si>
  <si>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</si>
  <si>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</si>
  <si>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</si>
  <si>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</si>
  <si>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</si>
  <si>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</si>
  <si>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</si>
  <si>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</si>
  <si>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</si>
  <si>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</si>
  <si>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</si>
  <si>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</si>
  <si>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</si>
  <si>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</si>
  <si>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</si>
  <si>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</si>
  <si>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</si>
  <si>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</si>
  <si>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</si>
  <si>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</si>
  <si>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</si>
  <si>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</si>
  <si>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</si>
  <si>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</si>
  <si>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</si>
  <si>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</si>
  <si>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</si>
  <si>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</si>
  <si>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</si>
  <si>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</si>
  <si>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</si>
  <si>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</si>
  <si>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</si>
  <si>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</si>
  <si>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</si>
  <si>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</si>
  <si>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</si>
  <si>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</si>
  <si>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</si>
  <si>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</si>
  <si>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</si>
  <si>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</si>
  <si>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</si>
  <si>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</si>
  <si>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</si>
  <si>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</si>
  <si>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</si>
  <si>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</si>
  <si>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</si>
  <si>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</si>
  <si>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</si>
  <si>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</si>
  <si>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</si>
  <si>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</si>
  <si>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</si>
  <si>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</si>
  <si>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</si>
  <si>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</si>
  <si>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</si>
  <si>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</si>
  <si>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</si>
  <si>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</si>
  <si>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</si>
  <si>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</si>
  <si>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</si>
  <si>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</si>
  <si>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</si>
  <si>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</si>
  <si>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</si>
  <si>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</si>
  <si>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</si>
  <si>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</si>
  <si>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</si>
  <si>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</si>
  <si>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</si>
  <si>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</si>
  <si>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</si>
  <si>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</si>
  <si>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</si>
  <si>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</si>
  <si>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</si>
  <si>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</si>
  <si>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</si>
  <si>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</si>
  <si>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</si>
  <si>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</si>
  <si>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</si>
  <si>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</si>
  <si>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</si>
  <si>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</si>
  <si>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</si>
  <si>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</si>
  <si>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</si>
  <si>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</si>
  <si>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</si>
  <si>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</si>
  <si>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</si>
  <si>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</si>
  <si>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</si>
  <si>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</si>
  <si>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</si>
  <si>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</si>
  <si>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</si>
  <si>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</si>
  <si>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</si>
  <si>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</si>
  <si>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</si>
  <si>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</si>
  <si>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</si>
  <si>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</si>
  <si>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</si>
  <si>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</si>
  <si>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</si>
  <si>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</si>
  <si>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</si>
  <si>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</si>
  <si>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</si>
  <si>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</si>
  <si>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</si>
  <si>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</si>
  <si>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</si>
  <si>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</si>
  <si>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</si>
  <si>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</si>
  <si>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</si>
  <si>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</si>
  <si>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</si>
  <si>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</si>
  <si>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</si>
  <si>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</si>
  <si>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</si>
  <si>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</si>
  <si>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</si>
  <si>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</si>
  <si>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</si>
  <si>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</si>
  <si>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</si>
  <si>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</si>
  <si>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</si>
  <si>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</si>
  <si>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</si>
  <si>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</si>
  <si>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</si>
  <si>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</si>
  <si>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</si>
  <si>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</si>
  <si>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</si>
  <si>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</si>
  <si>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</si>
  <si>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</si>
  <si>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</si>
  <si>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</si>
  <si>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</si>
  <si>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</si>
  <si>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</si>
  <si>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</si>
  <si>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</si>
  <si>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</si>
  <si>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</si>
  <si>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</si>
  <si>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</si>
  <si>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</si>
  <si>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</si>
  <si>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</si>
  <si>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</si>
  <si>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</si>
  <si>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</si>
  <si>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</si>
  <si>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</si>
  <si>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</si>
  <si>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</si>
  <si>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</si>
  <si>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</si>
  <si>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</si>
  <si>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</si>
  <si>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</si>
  <si>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</si>
  <si>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</si>
  <si>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</si>
  <si>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</si>
  <si>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</si>
  <si>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</si>
  <si>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</si>
  <si>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</si>
  <si>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</si>
  <si>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</si>
  <si>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</si>
  <si>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</si>
  <si>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</si>
  <si>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</si>
  <si>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</si>
  <si>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</si>
  <si>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</si>
  <si>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</si>
  <si>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</si>
  <si>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</si>
  <si>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</si>
  <si>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</si>
  <si>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</si>
  <si>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</si>
  <si>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</si>
  <si>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</si>
  <si>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</si>
  <si>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</si>
  <si>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</si>
  <si>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</si>
  <si>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</si>
  <si>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</si>
  <si>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</si>
  <si>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</si>
  <si>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</si>
  <si>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</si>
  <si>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</si>
  <si>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</si>
  <si>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</si>
  <si>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</si>
  <si>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</si>
  <si>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</si>
  <si>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</si>
  <si>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</si>
  <si>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</si>
  <si>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</si>
  <si>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</si>
  <si>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</si>
  <si>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</si>
  <si>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</si>
  <si>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</si>
  <si>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</si>
  <si>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</si>
  <si>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</si>
  <si>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</si>
  <si>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</si>
  <si>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</si>
  <si>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</si>
  <si>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</si>
  <si>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</si>
  <si>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</si>
  <si>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</si>
  <si>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</si>
  <si>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</si>
  <si>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</si>
  <si>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</si>
  <si>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</si>
  <si>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</si>
  <si>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</si>
  <si>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</si>
  <si>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</si>
  <si>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</si>
  <si>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</si>
  <si>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</si>
  <si>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</si>
  <si>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</si>
  <si>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</si>
  <si>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</si>
  <si>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</si>
  <si>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</si>
  <si>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</si>
  <si>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</si>
  <si>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</si>
  <si>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</si>
  <si>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</si>
  <si>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</si>
  <si>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</si>
  <si>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</si>
  <si>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</si>
  <si>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</si>
  <si>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</si>
  <si>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</si>
  <si>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</si>
  <si>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</si>
  <si>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</si>
  <si>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</si>
  <si>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</si>
  <si>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</si>
  <si>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</si>
  <si>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</si>
  <si>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</si>
  <si>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</si>
  <si>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</si>
  <si>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</si>
  <si>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</si>
  <si>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</si>
  <si>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</si>
  <si>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</si>
  <si>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</si>
  <si>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</si>
  <si>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</si>
  <si>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</si>
  <si>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</si>
  <si>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</si>
  <si>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</si>
  <si>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</si>
  <si>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</si>
  <si>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</si>
  <si>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</si>
  <si>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</si>
  <si>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</si>
  <si>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</si>
  <si>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</si>
  <si>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</si>
  <si>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</si>
  <si>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</si>
  <si>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</si>
  <si>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</si>
  <si>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</si>
  <si>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</si>
  <si>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</si>
  <si>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</si>
  <si>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</si>
  <si>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</si>
  <si>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</si>
  <si>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</si>
  <si>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</si>
  <si>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</si>
  <si>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</si>
  <si>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</si>
  <si>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</si>
  <si>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</si>
  <si>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</si>
  <si>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</si>
  <si>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</si>
  <si>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</si>
  <si>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</si>
  <si>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</si>
  <si>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</si>
  <si>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</si>
  <si>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</si>
  <si>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</si>
  <si>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</si>
  <si>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</si>
  <si>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</si>
  <si>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</si>
  <si>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</si>
  <si>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</si>
  <si>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</si>
  <si>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</si>
  <si>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</si>
  <si>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</si>
  <si>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</si>
  <si>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</si>
  <si>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</si>
  <si>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</si>
  <si>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</si>
  <si>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</si>
  <si>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</si>
  <si>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</si>
  <si>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</si>
  <si>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</si>
  <si>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</si>
  <si>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</si>
  <si>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</si>
  <si>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</si>
  <si>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</si>
  <si>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</si>
  <si>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</si>
  <si>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</si>
  <si>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</si>
  <si>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</si>
  <si>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</si>
  <si>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</si>
  <si>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</si>
  <si>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</si>
  <si>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</si>
  <si>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</si>
  <si>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</si>
  <si>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</si>
  <si>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</si>
  <si>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</si>
  <si>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</si>
  <si>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</si>
  <si>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</si>
  <si>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</si>
  <si>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</si>
  <si>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</si>
  <si>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</si>
  <si>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</si>
  <si>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</si>
  <si>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</si>
  <si>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</si>
  <si>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</si>
  <si>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</si>
  <si>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</si>
  <si>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</si>
  <si>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</si>
  <si>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</si>
  <si>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</si>
  <si>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</si>
  <si>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</si>
  <si>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</si>
  <si>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</si>
  <si>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</si>
  <si>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</si>
  <si>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</si>
  <si>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</si>
  <si>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</si>
  <si>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</si>
  <si>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</si>
  <si>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</si>
  <si>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</si>
  <si>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</si>
  <si>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</si>
  <si>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</si>
  <si>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</si>
  <si>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</si>
  <si>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</si>
  <si>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</si>
  <si>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</si>
  <si>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</si>
  <si>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</si>
  <si>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</si>
  <si>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</si>
  <si>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</si>
  <si>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</si>
  <si>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</si>
  <si>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</si>
  <si>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</si>
  <si>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</si>
  <si>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</si>
  <si>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</si>
  <si>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</si>
  <si>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</si>
  <si>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</si>
  <si>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</si>
  <si>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</si>
  <si>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</si>
  <si>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</si>
  <si>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</si>
  <si>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</si>
  <si>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</si>
  <si>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</si>
  <si>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</si>
  <si>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</si>
  <si>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</si>
  <si>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</si>
  <si>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</si>
  <si>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</si>
  <si>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</si>
  <si>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</si>
  <si>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</si>
  <si>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</si>
  <si>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</si>
  <si>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</si>
  <si>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</si>
  <si>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</si>
  <si>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</si>
  <si>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</si>
  <si>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</si>
  <si>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</si>
  <si>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</si>
  <si>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</si>
  <si>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</si>
  <si>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</si>
  <si>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</si>
  <si>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</si>
  <si>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</si>
  <si>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</si>
  <si>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</si>
  <si>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</si>
  <si>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</si>
  <si>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</si>
  <si>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</si>
  <si>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</si>
  <si>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</si>
  <si>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</si>
  <si>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</si>
  <si>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</si>
  <si>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</si>
  <si>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</si>
  <si>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</si>
  <si>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</si>
  <si>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</si>
  <si>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</si>
  <si>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</si>
  <si>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</si>
  <si>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</si>
  <si>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</si>
  <si>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</si>
  <si>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</si>
  <si>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</si>
  <si>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</si>
  <si>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</si>
  <si>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</si>
  <si>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</si>
  <si>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</si>
  <si>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</si>
  <si>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</si>
  <si>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</si>
  <si>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</si>
  <si>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</si>
  <si>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</si>
  <si>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</si>
  <si>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</si>
  <si>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</si>
  <si>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</si>
  <si>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</si>
  <si>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</si>
  <si>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</si>
  <si>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</si>
  <si>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</si>
  <si>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</si>
  <si>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</si>
  <si>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</si>
  <si>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</si>
  <si>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</si>
  <si>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</si>
  <si>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</si>
  <si>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</si>
  <si>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</si>
  <si>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</si>
  <si>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</si>
  <si>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</si>
  <si>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</si>
  <si>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</si>
  <si>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</si>
  <si>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</si>
  <si>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</si>
  <si>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</si>
  <si>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</si>
  <si>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</si>
  <si>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</si>
  <si>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</si>
  <si>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</si>
  <si>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</si>
  <si>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</si>
  <si>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</si>
  <si>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</si>
  <si>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</si>
  <si>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</si>
  <si>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</si>
  <si>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</si>
  <si>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</si>
  <si>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</si>
  <si>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</si>
  <si>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</si>
  <si>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</si>
  <si>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</si>
  <si>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</si>
  <si>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</si>
  <si>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</si>
  <si>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</si>
  <si>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</si>
  <si>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</si>
  <si>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</si>
  <si>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</si>
  <si>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</si>
  <si>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</si>
  <si>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</si>
  <si>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</si>
  <si>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</si>
  <si>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</si>
  <si>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</si>
  <si>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</si>
  <si>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</si>
  <si>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</si>
  <si>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</si>
  <si>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</si>
  <si>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</si>
  <si>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</si>
  <si>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</si>
  <si>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</si>
  <si>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</si>
  <si>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</si>
  <si>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</si>
  <si>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</si>
  <si>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</si>
  <si>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</si>
  <si>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</si>
  <si>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</si>
  <si>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</si>
  <si>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</si>
  <si>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</si>
  <si>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</si>
  <si>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</si>
  <si>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</si>
  <si>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</si>
  <si>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</si>
  <si>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</si>
  <si>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</si>
  <si>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</si>
  <si>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</si>
  <si>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</si>
  <si>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</si>
  <si>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</si>
  <si>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</si>
  <si>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</si>
  <si>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</si>
  <si>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</si>
  <si>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</si>
  <si>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</si>
  <si>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</si>
  <si>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</si>
  <si>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</si>
  <si>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</si>
  <si>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</si>
  <si>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</si>
  <si>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</si>
  <si>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</si>
  <si>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</si>
  <si>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</si>
  <si>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</si>
  <si>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</si>
  <si>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</si>
  <si>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</si>
  <si>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</si>
  <si>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</si>
  <si>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</si>
  <si>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</si>
  <si>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</si>
  <si>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</si>
  <si>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</si>
  <si>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</si>
  <si>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</si>
  <si>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</si>
  <si>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</si>
  <si>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</si>
  <si>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</si>
  <si>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</si>
  <si>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</si>
  <si>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</si>
  <si>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</si>
  <si>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</si>
  <si>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</si>
  <si>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</si>
  <si>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</si>
  <si>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</si>
  <si>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</si>
  <si>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</si>
  <si>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</si>
  <si>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</si>
  <si>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</si>
  <si>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</si>
  <si>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</si>
  <si>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</si>
  <si>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</si>
  <si>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</si>
  <si>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</si>
  <si>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</si>
  <si>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</si>
  <si>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</si>
  <si>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</si>
  <si>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</si>
  <si>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</si>
  <si>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</si>
  <si>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</si>
  <si>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</si>
  <si>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</si>
  <si>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</si>
  <si>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</si>
  <si>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</si>
  <si>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</si>
  <si>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</si>
  <si>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</si>
  <si>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</si>
  <si>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</si>
  <si>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</si>
  <si>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</si>
  <si>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</si>
  <si>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</si>
  <si>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</si>
  <si>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</si>
  <si>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</si>
  <si>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</si>
  <si>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</si>
  <si>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</si>
  <si>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</si>
  <si>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</si>
  <si>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</si>
  <si>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</si>
  <si>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</si>
  <si>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</si>
  <si>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</si>
  <si>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</si>
  <si>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</si>
  <si>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</si>
  <si>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</si>
  <si>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</si>
  <si>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</si>
  <si>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</si>
  <si>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</si>
  <si>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</si>
  <si>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</si>
  <si>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</si>
  <si>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</si>
  <si>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</si>
  <si>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</si>
  <si>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</si>
  <si>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</si>
  <si>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</si>
  <si>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</si>
  <si>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</si>
  <si>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</si>
  <si>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</si>
  <si>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</si>
  <si>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</si>
  <si>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</si>
  <si>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</si>
  <si>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</si>
  <si>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</si>
  <si>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</si>
  <si>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</si>
  <si>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</si>
  <si>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</si>
  <si>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</si>
  <si>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</si>
  <si>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</si>
  <si>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</si>
  <si>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</si>
  <si>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</si>
  <si>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</si>
  <si>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</si>
  <si>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</si>
  <si>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</si>
  <si>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</si>
  <si>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</si>
  <si>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</si>
  <si>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</si>
  <si>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</si>
  <si>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</si>
  <si>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</si>
  <si>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</si>
  <si>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</si>
  <si>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</si>
  <si>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</si>
  <si>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</si>
  <si>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</si>
  <si>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</si>
  <si>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</si>
  <si>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</si>
  <si>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</si>
  <si>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</si>
  <si>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</si>
  <si>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</si>
  <si>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</si>
  <si>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</si>
  <si>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</si>
  <si>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</si>
  <si>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</si>
  <si>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</si>
  <si>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</si>
  <si>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</si>
  <si>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</si>
  <si>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</si>
  <si>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</si>
  <si>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</si>
  <si>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</si>
  <si>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</si>
  <si>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</si>
  <si>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</si>
  <si>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</si>
  <si>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</si>
  <si>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</si>
  <si>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</si>
  <si>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</si>
  <si>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</si>
  <si>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</si>
  <si>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</si>
  <si>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</si>
  <si>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</si>
  <si>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</si>
  <si>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</si>
  <si>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</si>
  <si>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</si>
  <si>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</si>
  <si>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</si>
  <si>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</si>
  <si>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</si>
  <si>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</si>
  <si>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</si>
  <si>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</si>
  <si>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</si>
  <si>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</si>
  <si>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</si>
  <si>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</si>
  <si>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</si>
  <si>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</si>
  <si>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</si>
  <si>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</si>
  <si>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</si>
  <si>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</si>
  <si>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</si>
  <si>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</si>
  <si>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</si>
  <si>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</si>
  <si>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</si>
  <si>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</si>
  <si>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</si>
  <si>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</si>
  <si>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</si>
  <si>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</si>
  <si>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</si>
  <si>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</si>
  <si>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</si>
  <si>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</si>
  <si>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</si>
  <si>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</si>
  <si>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</si>
  <si>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</si>
  <si>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</si>
  <si>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</si>
  <si>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</si>
  <si>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</si>
  <si>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</si>
  <si>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</si>
  <si>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</si>
  <si>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</si>
  <si>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</si>
  <si>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</si>
  <si>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</si>
  <si>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</si>
  <si>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</si>
  <si>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</si>
  <si>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</si>
  <si>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</si>
  <si>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</si>
  <si>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</si>
  <si>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</si>
  <si>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</si>
  <si>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</si>
  <si>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</si>
  <si>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</si>
  <si>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</si>
  <si>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</si>
  <si>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</si>
  <si>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</si>
  <si>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</si>
  <si>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</si>
  <si>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</si>
  <si>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</si>
  <si>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</si>
  <si>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</si>
  <si>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</si>
  <si>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</si>
  <si>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</si>
  <si>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</si>
  <si>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</si>
  <si>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</si>
  <si>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</si>
  <si>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</si>
  <si>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</si>
  <si>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</si>
  <si>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</si>
  <si>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</si>
  <si>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</si>
  <si>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</si>
  <si>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</si>
  <si>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</si>
  <si>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</si>
  <si>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</si>
  <si>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</si>
  <si>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</si>
  <si>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</si>
  <si>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</si>
  <si>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</si>
  <si>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</si>
  <si>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</si>
  <si>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</si>
  <si>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</si>
  <si>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</si>
  <si>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</si>
  <si>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</si>
  <si>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</si>
  <si>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</si>
  <si>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</si>
  <si>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</si>
  <si>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</si>
  <si>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</si>
  <si>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</si>
  <si>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</si>
  <si>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</si>
  <si>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</si>
  <si>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</si>
  <si>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</si>
  <si>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</si>
  <si>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</si>
  <si>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</si>
  <si>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</si>
  <si>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</si>
  <si>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</si>
  <si>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</si>
  <si>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</si>
  <si>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</si>
  <si>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</si>
  <si>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</si>
  <si>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</si>
  <si>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</si>
  <si>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</si>
  <si>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</si>
  <si>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</si>
  <si>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</si>
  <si>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</si>
  <si>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</si>
  <si>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</si>
  <si>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</si>
  <si>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</si>
  <si>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</si>
  <si>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</si>
  <si>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</si>
  <si>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</si>
  <si>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</si>
  <si>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</si>
  <si>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</si>
  <si>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</si>
  <si>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</si>
  <si>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</si>
  <si>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</si>
  <si>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</si>
  <si>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</si>
  <si>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</si>
  <si>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</si>
  <si>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</si>
  <si>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</si>
  <si>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</si>
  <si>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</si>
  <si>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</si>
  <si>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</si>
  <si>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</si>
  <si>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</si>
  <si>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</si>
  <si>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</si>
  <si>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</si>
  <si>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</si>
  <si>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</si>
  <si>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</si>
  <si>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</si>
  <si>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</si>
  <si>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</si>
  <si>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</si>
  <si>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</si>
  <si>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</si>
  <si>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</si>
  <si>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</si>
  <si>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</si>
  <si>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</si>
  <si>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</si>
  <si>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</si>
  <si>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</si>
  <si>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</si>
  <si>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</si>
  <si>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</si>
  <si>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</si>
  <si>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</si>
  <si>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</si>
  <si>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</si>
  <si>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</si>
  <si>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</si>
  <si>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</si>
  <si>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</si>
  <si>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</si>
  <si>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</si>
  <si>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</si>
  <si>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</si>
  <si>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</si>
  <si>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(This field is optional.When you input, write Sales Company Authorizer Phone.)</t>
  </si>
  <si>
    <t>We identify and evaluate risks based on our management system. We take action according to each risk level and keep the data of it.</t>
  </si>
  <si>
    <t>Panasonic delisted its American Depositary Shares from the New York Stock Exchange in Apr 2013. Panasonic's reporting obligations has been terminated in Jul 2013.</t>
  </si>
  <si>
    <t>https://holdings.panasonic/global/corporate/sustainability/pdf/sdb2025e-supply_chain.pdf</t>
    <phoneticPr fontId="101"/>
  </si>
  <si>
    <t>MSC(CID001105) and Thaisarco(CID001898) supplies tin from the DRC or an adjoining country. However, Thaisarco is RMI compliant smelter. MSC has been removed from the Conformant List, so we are requesting suppliers to promote DD (due diligence). </t>
    <phoneticPr fontId="101"/>
  </si>
  <si>
    <t>100%</t>
  </si>
  <si>
    <t>CID001105</t>
  </si>
  <si>
    <t>Malaysia Smelting Corporation (MSC)</t>
  </si>
  <si>
    <t>Nondisclosure</t>
  </si>
  <si>
    <t>-</t>
  </si>
  <si>
    <t>Butterworth</t>
  </si>
  <si>
    <t>EZMPseries</t>
  </si>
  <si>
    <t>Metal Magneto Resistive Elements</t>
  </si>
  <si>
    <t>blank below</t>
  </si>
  <si>
    <t>EZMZLseries</t>
  </si>
  <si>
    <t>Magnet Sheet for Magnetic Sensor</t>
  </si>
  <si>
    <t>Panasonic Industry</t>
    <phoneticPr fontId="101"/>
  </si>
  <si>
    <t>Link to Web Inquary@</t>
    <phoneticPr fontId="101"/>
  </si>
  <si>
    <t>https://industrial.panasonic.com/cuif2/na/contact-us</t>
    <phoneticPr fontId="101"/>
  </si>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</sst>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409]mmmm\ d\,\ yyyy;@"/>
    <numFmt numFmtId="181" formatCode="[$-409]d\-mmm\-yyyy;@"/>
    <numFmt numFmtId="182" formatCode="0.0"/>
    <numFmt numFmtId="183" formatCode="_-&quot;$&quot;* #,##0_-;\-&quot;$&quot;* #,##0_-;_-&quot;$&quot;* &quot;-&quot;_-;_-@_-"/>
    <numFmt numFmtId="184" formatCode="_-* #,##0_-;\-* #,##0_-;_-* &quot;-&quot;_-;_-@_-"/>
    <numFmt numFmtId="185" formatCode="_-&quot;$&quot;* #,##0.00_-;\-&quot;$&quot;* #,##0.00_-;_-&quot;$&quot;* &quot;-&quot;??_-;_-@_-"/>
    <numFmt numFmtId="186" formatCode="_-* #,##0.00_-;\-* #,##0.00_-;_-* &quot;-&quot;??_-;_-@_-"/>
    <numFmt numFmtId="187" formatCode="_-* #,##0\ &quot;€&quot;_-;\-* #,##0\ &quot;€&quot;_-;_-* &quot;-&quot;\ &quot;€&quot;_-;_-@_-"/>
    <numFmt numFmtId="188" formatCode="_-* #,##0\ _€_-;\-* #,##0\ _€_-;_-* &quot;-&quot;\ _€_-;_-@_-"/>
    <numFmt numFmtId="189" formatCode="_-* #,##0.00\ &quot;€&quot;_-;\-* #,##0.00\ &quot;€&quot;_-;_-* &quot;-&quot;??\ &quot;€&quot;_-;_-@_-"/>
    <numFmt numFmtId="190" formatCode="_-* #,##0.00\ _€_-;\-* #,##0.00\ _€_-;_-* &quot;-&quot;??\ _€_-;_-@_-"/>
    <numFmt numFmtId="191" formatCode="_-&quot;€&quot;\ * #,##0_-;\-&quot;€&quot;\ * #,##0_-;_-&quot;€&quot;\ * &quot;-&quot;_-;_-@_-"/>
    <numFmt numFmtId="192" formatCode="_-&quot;€&quot;\ * #,##0.00_-;\-&quot;€&quot;\ * #,##0.00_-;_-&quot;€&quot;\ * &quot;-&quot;??_-;_-@_-"/>
  </numFmts>
  <fonts count="102">
    <font>
      <sz val="10"/>
      <name val="Verdana"/>
      <family val="2"/>
    </font>
    <font>
      <sz val="11"/>
      <color theme="1"/>
      <name val="ＭＳ Ｐゴシック"/>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ＭＳ Ｐゴシック"/>
      <family val="3"/>
      <charset val="128"/>
      <scheme val="minor"/>
    </font>
    <font>
      <sz val="11"/>
      <color theme="0"/>
      <name val="ＭＳ Ｐゴシック"/>
      <family val="3"/>
      <charset val="128"/>
      <scheme val="minor"/>
    </font>
    <font>
      <sz val="11"/>
      <color rgb="FF9C0006"/>
      <name val="ＭＳ Ｐゴシック"/>
      <family val="3"/>
      <charset val="128"/>
    </font>
    <font>
      <sz val="11"/>
      <color rgb="FF9C0006"/>
      <name val="ＭＳ Ｐゴシック"/>
      <family val="3"/>
      <charset val="128"/>
      <scheme val="minor"/>
    </font>
    <font>
      <b/>
      <sz val="11"/>
      <color rgb="FFFA7D00"/>
      <name val="ＭＳ Ｐゴシック"/>
      <family val="3"/>
      <charset val="128"/>
      <scheme val="minor"/>
    </font>
    <font>
      <b/>
      <sz val="11"/>
      <color theme="0"/>
      <name val="ＭＳ Ｐゴシック"/>
      <family val="3"/>
      <charset val="128"/>
      <scheme val="minor"/>
    </font>
    <font>
      <i/>
      <sz val="11"/>
      <color rgb="FF7F7F7F"/>
      <name val="ＭＳ Ｐゴシック"/>
      <family val="3"/>
      <charset val="128"/>
      <scheme val="minor"/>
    </font>
    <font>
      <sz val="11"/>
      <color rgb="FF0061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u/>
      <sz val="10"/>
      <color theme="10"/>
      <name val="Arial"/>
      <family val="2"/>
    </font>
    <font>
      <u/>
      <sz val="11"/>
      <color theme="10"/>
      <name val="ＭＳ Ｐゴシック"/>
      <family val="3"/>
      <charset val="128"/>
      <scheme val="minor"/>
    </font>
    <font>
      <u/>
      <sz val="12"/>
      <color theme="10"/>
      <name val="ＭＳ Ｐゴシック"/>
      <family val="3"/>
      <charset val="128"/>
      <scheme val="minor"/>
    </font>
    <font>
      <sz val="11"/>
      <color rgb="FF3F3F76"/>
      <name val="ＭＳ Ｐゴシック"/>
      <family val="3"/>
      <charset val="128"/>
      <scheme val="minor"/>
    </font>
    <font>
      <sz val="11"/>
      <color rgb="FFFA7D00"/>
      <name val="ＭＳ Ｐゴシック"/>
      <family val="3"/>
      <charset val="128"/>
      <scheme val="minor"/>
    </font>
    <font>
      <sz val="11"/>
      <color rgb="FF9C6500"/>
      <name val="ＭＳ Ｐゴシック"/>
      <family val="3"/>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scheme val="minor"/>
    </font>
    <font>
      <b/>
      <sz val="11"/>
      <color rgb="FF3F3F3F"/>
      <name val="ＭＳ Ｐゴシック"/>
      <family val="3"/>
      <charset val="128"/>
      <scheme val="minor"/>
    </font>
    <font>
      <sz val="18"/>
      <color theme="3"/>
      <name val="ＭＳ Ｐゴシック"/>
      <family val="3"/>
      <charset val="128"/>
      <scheme val="major"/>
    </font>
    <font>
      <b/>
      <sz val="11"/>
      <color theme="1"/>
      <name val="ＭＳ Ｐゴシック"/>
      <family val="3"/>
      <charset val="128"/>
      <scheme val="minor"/>
    </font>
    <font>
      <sz val="11"/>
      <color rgb="FFFF0000"/>
      <name val="ＭＳ Ｐゴシック"/>
      <family val="3"/>
      <charset val="128"/>
      <scheme val="minor"/>
    </font>
    <font>
      <sz val="10"/>
      <color theme="1"/>
      <name val="Verdana"/>
      <family val="2"/>
    </font>
    <font>
      <sz val="10"/>
      <color theme="0" tint="-0.34995574816125979"/>
      <name val="Verdana"/>
      <family val="2"/>
    </font>
    <font>
      <sz val="11"/>
      <name val="ＭＳ Ｐゴシック"/>
      <family val="3"/>
      <charset val="128"/>
      <scheme val="minor"/>
    </font>
    <font>
      <sz val="10"/>
      <color rgb="FFFF0000"/>
      <name val="Verdana"/>
      <family val="2"/>
    </font>
    <font>
      <u/>
      <sz val="10"/>
      <color indexed="12"/>
      <name val="ＭＳ Ｐゴシック"/>
      <family val="3"/>
      <charset val="128"/>
      <scheme val="major"/>
    </font>
    <font>
      <sz val="10"/>
      <name val="ＭＳ Ｐゴシック"/>
      <family val="3"/>
      <charset val="128"/>
      <scheme val="major"/>
    </font>
    <font>
      <u/>
      <sz val="12"/>
      <color indexed="12"/>
      <name val="ＭＳ Ｐゴシック"/>
      <family val="3"/>
      <charset val="128"/>
      <scheme val="major"/>
    </font>
    <font>
      <sz val="12"/>
      <name val="ＭＳ Ｐゴシック"/>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ＭＳ Ｐゴシック"/>
      <family val="3"/>
      <charset val="128"/>
      <scheme val="minor"/>
    </font>
    <font>
      <sz val="12"/>
      <name val="Arial"/>
      <family val="2"/>
    </font>
    <font>
      <sz val="11"/>
      <name val="ＭＳ Ｐゴシック"/>
      <family val="2"/>
    </font>
    <font>
      <sz val="11"/>
      <color rgb="FF000000"/>
      <name val="Calibri"/>
      <family val="2"/>
    </font>
    <font>
      <sz val="11"/>
      <name val="ＭＳ Ｐゴシック"/>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6"/>
      <name val="ＭＳ Ｐゴシック"/>
      <family val="3"/>
      <charset val="128"/>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77" fontId="10" fillId="0" borderId="0" applyFont="0" applyFill="0" applyBorder="0" applyAlignment="0" applyProtection="0"/>
    <xf numFmtId="184"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6" fontId="10" fillId="0" borderId="0" applyFont="0" applyFill="0" applyBorder="0" applyAlignment="0" applyProtection="0"/>
    <xf numFmtId="183"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0"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80" fontId="2" fillId="0" borderId="0"/>
    <xf numFmtId="0" fontId="89" fillId="0" borderId="0"/>
    <xf numFmtId="0" fontId="89" fillId="0" borderId="0"/>
    <xf numFmtId="180"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80" fontId="2" fillId="0" borderId="0"/>
    <xf numFmtId="0" fontId="7" fillId="0" borderId="0"/>
    <xf numFmtId="180" fontId="89" fillId="0" borderId="0"/>
    <xf numFmtId="0" fontId="54" fillId="0" borderId="0"/>
    <xf numFmtId="0" fontId="54" fillId="0" borderId="0"/>
    <xf numFmtId="180" fontId="7" fillId="0" borderId="0"/>
    <xf numFmtId="0" fontId="54" fillId="0" borderId="0"/>
    <xf numFmtId="0" fontId="7" fillId="0" borderId="0"/>
    <xf numFmtId="0" fontId="54" fillId="0" borderId="0"/>
    <xf numFmtId="0" fontId="71" fillId="0" borderId="0">
      <alignment vertical="center"/>
    </xf>
    <xf numFmtId="180"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80" fontId="2" fillId="0" borderId="0"/>
    <xf numFmtId="180"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80" fontId="10" fillId="0" borderId="0"/>
    <xf numFmtId="0" fontId="89" fillId="0" borderId="0"/>
    <xf numFmtId="0" fontId="89" fillId="0" borderId="0"/>
    <xf numFmtId="0" fontId="89" fillId="0" borderId="0"/>
    <xf numFmtId="180"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8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80" fontId="0" fillId="33" borderId="13" xfId="0" applyNumberFormat="1" applyFill="1" applyBorder="1" applyAlignment="1">
      <alignment vertical="top" wrapText="1"/>
    </xf>
    <xf numFmtId="180" fontId="0" fillId="33" borderId="0" xfId="0" applyNumberFormat="1" applyFill="1"/>
    <xf numFmtId="180" fontId="9" fillId="33" borderId="0" xfId="0" applyNumberFormat="1" applyFont="1" applyFill="1"/>
    <xf numFmtId="180" fontId="14" fillId="33" borderId="0" xfId="0" applyNumberFormat="1" applyFont="1" applyFill="1" applyAlignment="1">
      <alignment horizontal="center" vertical="center" wrapText="1"/>
    </xf>
    <xf numFmtId="180" fontId="11" fillId="33" borderId="0" xfId="0" applyNumberFormat="1" applyFont="1" applyFill="1" applyAlignment="1">
      <alignment horizontal="center" vertical="center"/>
    </xf>
    <xf numFmtId="180" fontId="26" fillId="33" borderId="20" xfId="570" applyNumberFormat="1" applyFont="1" applyFill="1" applyBorder="1" applyAlignment="1">
      <alignment horizontal="center" vertical="center" wrapText="1"/>
    </xf>
    <xf numFmtId="18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80" fontId="52" fillId="0" borderId="0" xfId="480" applyFont="1" applyAlignment="1">
      <alignment horizontal="left" vertical="top" wrapText="1"/>
    </xf>
    <xf numFmtId="180"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80"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80"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80"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80"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82"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80"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82" fontId="25" fillId="33" borderId="19" xfId="570" applyNumberFormat="1" applyFont="1" applyFill="1" applyBorder="1" applyAlignment="1">
      <alignment horizontal="center" vertical="top" wrapText="1"/>
    </xf>
    <xf numFmtId="180"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81" fontId="14" fillId="33" borderId="34" xfId="0" applyNumberFormat="1" applyFont="1" applyFill="1" applyBorder="1" applyAlignment="1" applyProtection="1">
      <alignment horizontal="center" wrapText="1"/>
      <protection locked="0"/>
    </xf>
    <xf numFmtId="181"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80" fontId="25" fillId="0" borderId="48" xfId="570" applyNumberFormat="1" applyFont="1" applyBorder="1" applyAlignment="1">
      <alignment horizontal="center" vertical="top" wrapText="1"/>
    </xf>
    <xf numFmtId="180" fontId="25" fillId="0" borderId="49" xfId="570" applyNumberFormat="1" applyFont="1" applyBorder="1" applyAlignment="1">
      <alignment horizontal="center" vertical="top" wrapText="1"/>
    </xf>
    <xf numFmtId="180"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80" fontId="25" fillId="33" borderId="48" xfId="570" applyNumberFormat="1" applyFont="1" applyFill="1" applyBorder="1" applyAlignment="1">
      <alignment horizontal="center" vertical="top" wrapText="1"/>
    </xf>
    <xf numFmtId="180" fontId="25" fillId="33" borderId="49" xfId="570" applyNumberFormat="1" applyFont="1" applyFill="1" applyBorder="1" applyAlignment="1">
      <alignment horizontal="center" vertical="top" wrapText="1"/>
    </xf>
    <xf numFmtId="180"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ハイパーリンク" xfId="487" builtinId="8"/>
    <cellStyle name="一般 7" xfId="588" xr:uid="{00000000-0005-0000-0000-00004C020000}"/>
    <cellStyle name="標準" xfId="0" builtinId="0"/>
    <cellStyle name="標準 2" xfId="589" xr:uid="{00000000-0005-0000-0000-00004D020000}"/>
    <cellStyle name="標準 2 2" xfId="590" xr:uid="{00000000-0005-0000-0000-00004E020000}"/>
    <cellStyle name="標準 2 3" xfId="591" xr:uid="{00000000-0005-0000-0000-00004F020000}"/>
    <cellStyle name="표준 2" xfId="587" xr:uid="{00000000-0005-0000-0000-00004B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2380071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holdings.panasonic/global/corporate/sustainability/pdf/sdb2025e-supply_chain.pdf"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industrial.panasonic.com/cuif2/na/contact-us" TargetMode="External"/><Relationship Id="rId5" Type="http://schemas.openxmlformats.org/officeDocument/2006/relationships/hyperlink" Target="https://industrial.panasonic.com/cuif2/na/contact-us" TargetMode="External"/><Relationship Id="rId10" Type="http://schemas.openxmlformats.org/officeDocument/2006/relationships/comments" Target="../comments1.xml"/><Relationship Id="rId4" Type="http://schemas.openxmlformats.org/officeDocument/2006/relationships/hyperlink" Target="https://industrial.panasonic.com/cuif2/na/contact-us"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6"/>
  <cols>
    <col min="1" max="1" width="0.90625" customWidth="1"/>
    <col min="2" max="2" width="8" customWidth="1"/>
    <col min="3" max="3" width="8.6328125" customWidth="1"/>
    <col min="4" max="4" width="13" style="164" customWidth="1"/>
    <col min="5" max="5" width="42.36328125" customWidth="1"/>
    <col min="6" max="6" width="53.36328125" customWidth="1"/>
    <col min="7" max="7" width="0.90625" customWidth="1"/>
  </cols>
  <sheetData>
    <row r="1" spans="1:7" ht="13.2" thickTop="1">
      <c r="A1" s="6"/>
      <c r="B1" s="7"/>
      <c r="C1" s="7"/>
      <c r="D1" s="158"/>
      <c r="E1" s="7"/>
      <c r="F1" s="7"/>
      <c r="G1" s="8"/>
    </row>
    <row r="2" spans="1:7">
      <c r="A2" s="373"/>
      <c r="B2" s="4" t="s">
        <v>807</v>
      </c>
      <c r="C2" s="2"/>
      <c r="D2" s="159"/>
      <c r="E2" s="2"/>
      <c r="F2" s="2"/>
      <c r="G2" s="24"/>
    </row>
    <row r="3" spans="1:7">
      <c r="A3" s="373"/>
      <c r="B3" s="2" t="s">
        <v>800</v>
      </c>
      <c r="C3" s="4"/>
      <c r="D3" s="160"/>
      <c r="E3" s="2"/>
      <c r="F3" s="4"/>
      <c r="G3" s="24"/>
    </row>
    <row r="4" spans="1:7" ht="15">
      <c r="A4" s="373"/>
      <c r="B4" s="27" t="s">
        <v>809</v>
      </c>
      <c r="C4" s="5"/>
      <c r="D4" s="161"/>
      <c r="E4" s="2"/>
      <c r="F4" s="5"/>
      <c r="G4" s="24"/>
    </row>
    <row r="5" spans="1:7" ht="13.2">
      <c r="A5" s="373"/>
      <c r="B5" s="26" t="s">
        <v>998</v>
      </c>
      <c r="C5" s="3"/>
      <c r="D5" s="162"/>
      <c r="E5" s="2"/>
      <c r="F5" s="3"/>
      <c r="G5" s="24"/>
    </row>
    <row r="6" spans="1:7">
      <c r="A6" s="373"/>
      <c r="B6" s="2"/>
      <c r="C6" s="2"/>
      <c r="D6" s="159"/>
      <c r="E6" s="2"/>
      <c r="F6" s="2"/>
      <c r="G6" s="24"/>
    </row>
    <row r="7" spans="1:7">
      <c r="A7" s="373"/>
      <c r="B7" s="2"/>
      <c r="C7" s="2"/>
      <c r="D7" s="159"/>
      <c r="E7" s="2"/>
      <c r="F7" s="2"/>
      <c r="G7" s="24"/>
    </row>
    <row r="8" spans="1:7">
      <c r="A8" s="373"/>
      <c r="B8" s="2"/>
      <c r="C8" s="2"/>
      <c r="D8" s="159"/>
      <c r="E8" s="2"/>
      <c r="F8" s="2"/>
      <c r="G8" s="24"/>
    </row>
    <row r="9" spans="1:7">
      <c r="A9" s="373"/>
      <c r="B9" s="376" t="s">
        <v>810</v>
      </c>
      <c r="C9" s="376"/>
      <c r="D9" s="376"/>
      <c r="E9" s="376"/>
      <c r="F9" s="376"/>
      <c r="G9" s="24"/>
    </row>
    <row r="10" spans="1:7" ht="27" customHeight="1">
      <c r="A10" s="373"/>
      <c r="B10" s="377" t="s">
        <v>423</v>
      </c>
      <c r="C10" s="377"/>
      <c r="D10" s="377"/>
      <c r="E10" s="377"/>
      <c r="F10" s="377"/>
      <c r="G10" s="24"/>
    </row>
    <row r="11" spans="1:7" ht="27" customHeight="1">
      <c r="A11" s="373"/>
      <c r="B11" s="378"/>
      <c r="C11" s="378"/>
      <c r="D11" s="378"/>
      <c r="E11" s="378"/>
      <c r="F11" s="378"/>
      <c r="G11" s="24"/>
    </row>
    <row r="12" spans="1:7">
      <c r="A12" s="373"/>
      <c r="B12" s="28" t="s">
        <v>808</v>
      </c>
      <c r="C12" s="29" t="s">
        <v>811</v>
      </c>
      <c r="D12" s="163" t="s">
        <v>812</v>
      </c>
      <c r="E12" s="29" t="s">
        <v>593</v>
      </c>
      <c r="F12" s="29" t="s">
        <v>594</v>
      </c>
      <c r="G12" s="24"/>
    </row>
    <row r="13" spans="1:7" ht="34.200000000000003">
      <c r="A13" s="373"/>
      <c r="B13" s="275">
        <v>1</v>
      </c>
      <c r="C13" s="276" t="s">
        <v>1046</v>
      </c>
      <c r="D13" s="277" t="s">
        <v>836</v>
      </c>
      <c r="E13" s="278" t="s">
        <v>813</v>
      </c>
      <c r="F13" s="278"/>
      <c r="G13" s="24"/>
    </row>
    <row r="14" spans="1:7" ht="45.6">
      <c r="A14" s="373"/>
      <c r="B14" s="275">
        <v>2</v>
      </c>
      <c r="C14" s="276" t="s">
        <v>1046</v>
      </c>
      <c r="D14" s="277" t="s">
        <v>983</v>
      </c>
      <c r="E14" s="278" t="s">
        <v>513</v>
      </c>
      <c r="F14" s="278" t="s">
        <v>514</v>
      </c>
      <c r="G14" s="24"/>
    </row>
    <row r="15" spans="1:7" ht="89.1" customHeight="1">
      <c r="A15" s="373"/>
      <c r="B15" s="358">
        <v>2.0099999999999998</v>
      </c>
      <c r="C15" s="370" t="s">
        <v>1046</v>
      </c>
      <c r="D15" s="379" t="s">
        <v>2150</v>
      </c>
      <c r="E15" s="279" t="s">
        <v>595</v>
      </c>
      <c r="F15" s="279" t="s">
        <v>598</v>
      </c>
      <c r="G15" s="24"/>
    </row>
    <row r="16" spans="1:7" ht="99" customHeight="1">
      <c r="A16" s="373"/>
      <c r="B16" s="359"/>
      <c r="C16" s="371"/>
      <c r="D16" s="380"/>
      <c r="E16" s="280"/>
      <c r="F16" s="280" t="s">
        <v>596</v>
      </c>
      <c r="G16" s="24"/>
    </row>
    <row r="17" spans="1:7" ht="63" customHeight="1">
      <c r="A17" s="373"/>
      <c r="B17" s="360"/>
      <c r="C17" s="372"/>
      <c r="D17" s="381"/>
      <c r="E17" s="276"/>
      <c r="F17" s="276" t="s">
        <v>597</v>
      </c>
      <c r="G17" s="24"/>
    </row>
    <row r="18" spans="1:7" ht="117" customHeight="1">
      <c r="A18" s="373"/>
      <c r="B18" s="358">
        <v>2.02</v>
      </c>
      <c r="C18" s="370" t="s">
        <v>1046</v>
      </c>
      <c r="D18" s="379" t="s">
        <v>2151</v>
      </c>
      <c r="E18" s="279" t="s">
        <v>424</v>
      </c>
      <c r="F18" s="279" t="s">
        <v>508</v>
      </c>
      <c r="G18" s="24"/>
    </row>
    <row r="19" spans="1:7" ht="71.099999999999994" customHeight="1">
      <c r="A19" s="373"/>
      <c r="B19" s="359"/>
      <c r="C19" s="371"/>
      <c r="D19" s="380"/>
      <c r="E19" s="280" t="s">
        <v>512</v>
      </c>
      <c r="F19" s="280" t="s">
        <v>425</v>
      </c>
      <c r="G19" s="24"/>
    </row>
    <row r="20" spans="1:7" ht="90.75" customHeight="1">
      <c r="A20" s="373"/>
      <c r="B20" s="359"/>
      <c r="C20" s="371"/>
      <c r="D20" s="380"/>
      <c r="E20" s="280"/>
      <c r="F20" s="280" t="s">
        <v>600</v>
      </c>
      <c r="G20" s="24"/>
    </row>
    <row r="21" spans="1:7" ht="74.25" customHeight="1">
      <c r="A21" s="373"/>
      <c r="B21" s="360"/>
      <c r="C21" s="372"/>
      <c r="D21" s="381"/>
      <c r="E21" s="276"/>
      <c r="F21" s="276" t="s">
        <v>599</v>
      </c>
      <c r="G21" s="24"/>
    </row>
    <row r="22" spans="1:7" ht="90" customHeight="1">
      <c r="A22" s="373"/>
      <c r="B22" s="364">
        <v>2.0299999999999998</v>
      </c>
      <c r="C22" s="364" t="s">
        <v>783</v>
      </c>
      <c r="D22" s="367" t="s">
        <v>2152</v>
      </c>
      <c r="E22" s="370" t="s">
        <v>422</v>
      </c>
      <c r="F22" s="279" t="s">
        <v>445</v>
      </c>
      <c r="G22" s="24"/>
    </row>
    <row r="23" spans="1:7" ht="109.5" customHeight="1">
      <c r="A23" s="373"/>
      <c r="B23" s="365"/>
      <c r="C23" s="365"/>
      <c r="D23" s="368"/>
      <c r="E23" s="371"/>
      <c r="F23" s="280" t="s">
        <v>784</v>
      </c>
      <c r="G23" s="24"/>
    </row>
    <row r="24" spans="1:7" ht="74.25" customHeight="1">
      <c r="A24" s="373"/>
      <c r="B24" s="366"/>
      <c r="C24" s="366"/>
      <c r="D24" s="369"/>
      <c r="E24" s="372"/>
      <c r="F24" s="276" t="s">
        <v>421</v>
      </c>
      <c r="G24" s="24"/>
    </row>
    <row r="25" spans="1:7" ht="72" customHeight="1">
      <c r="A25" s="373"/>
      <c r="B25" s="275" t="s">
        <v>443</v>
      </c>
      <c r="C25" s="276" t="s">
        <v>444</v>
      </c>
      <c r="D25" s="277" t="s">
        <v>2153</v>
      </c>
      <c r="E25" s="276" t="s">
        <v>2148</v>
      </c>
      <c r="F25" s="276" t="s">
        <v>446</v>
      </c>
      <c r="G25" s="24"/>
    </row>
    <row r="26" spans="1:7" ht="98.1" customHeight="1">
      <c r="A26" s="373"/>
      <c r="B26" s="361">
        <v>3</v>
      </c>
      <c r="C26" s="358" t="s">
        <v>66</v>
      </c>
      <c r="D26" s="379" t="s">
        <v>2154</v>
      </c>
      <c r="E26" s="370" t="s">
        <v>0</v>
      </c>
      <c r="F26" s="279" t="s">
        <v>60</v>
      </c>
      <c r="G26" s="24"/>
    </row>
    <row r="27" spans="1:7" ht="90" customHeight="1">
      <c r="A27" s="373"/>
      <c r="B27" s="362"/>
      <c r="C27" s="359"/>
      <c r="D27" s="380"/>
      <c r="E27" s="371"/>
      <c r="F27" s="280" t="s">
        <v>55</v>
      </c>
      <c r="G27" s="24"/>
    </row>
    <row r="28" spans="1:7" ht="19.350000000000001" customHeight="1">
      <c r="A28" s="373"/>
      <c r="B28" s="362"/>
      <c r="C28" s="359"/>
      <c r="D28" s="380"/>
      <c r="E28" s="371"/>
      <c r="F28" s="280" t="s">
        <v>56</v>
      </c>
      <c r="G28" s="24"/>
    </row>
    <row r="29" spans="1:7" ht="74.7" customHeight="1">
      <c r="A29" s="373"/>
      <c r="B29" s="362"/>
      <c r="C29" s="359"/>
      <c r="D29" s="380"/>
      <c r="E29" s="371"/>
      <c r="F29" s="280" t="s">
        <v>57</v>
      </c>
      <c r="G29" s="24"/>
    </row>
    <row r="30" spans="1:7" ht="62.7" customHeight="1">
      <c r="A30" s="373"/>
      <c r="B30" s="362"/>
      <c r="C30" s="359"/>
      <c r="D30" s="380"/>
      <c r="E30" s="371"/>
      <c r="F30" s="280" t="s">
        <v>58</v>
      </c>
      <c r="G30" s="24"/>
    </row>
    <row r="31" spans="1:7" ht="81" customHeight="1">
      <c r="A31" s="373"/>
      <c r="B31" s="362"/>
      <c r="C31" s="359"/>
      <c r="D31" s="380"/>
      <c r="E31" s="371"/>
      <c r="F31" s="280" t="s">
        <v>59</v>
      </c>
      <c r="G31" s="24"/>
    </row>
    <row r="32" spans="1:7" ht="48.75" customHeight="1">
      <c r="A32" s="373"/>
      <c r="B32" s="362"/>
      <c r="C32" s="359"/>
      <c r="D32" s="380"/>
      <c r="E32" s="371"/>
      <c r="F32" s="280" t="s">
        <v>62</v>
      </c>
      <c r="G32" s="24"/>
    </row>
    <row r="33" spans="1:7" ht="98.7" customHeight="1">
      <c r="A33" s="373"/>
      <c r="B33" s="362"/>
      <c r="C33" s="359"/>
      <c r="D33" s="380"/>
      <c r="E33" s="371"/>
      <c r="F33" s="280" t="s">
        <v>61</v>
      </c>
      <c r="G33" s="24"/>
    </row>
    <row r="34" spans="1:7" ht="89.1" customHeight="1">
      <c r="A34" s="373"/>
      <c r="B34" s="362"/>
      <c r="C34" s="359"/>
      <c r="D34" s="380"/>
      <c r="E34" s="371"/>
      <c r="F34" s="280" t="s">
        <v>63</v>
      </c>
      <c r="G34" s="24"/>
    </row>
    <row r="35" spans="1:7" ht="29.1" customHeight="1">
      <c r="A35" s="373"/>
      <c r="B35" s="362"/>
      <c r="C35" s="359"/>
      <c r="D35" s="380"/>
      <c r="E35" s="371"/>
      <c r="F35" s="280" t="s">
        <v>64</v>
      </c>
      <c r="G35" s="24"/>
    </row>
    <row r="36" spans="1:7" ht="136.80000000000001">
      <c r="A36" s="373"/>
      <c r="B36" s="363"/>
      <c r="C36" s="360"/>
      <c r="D36" s="381"/>
      <c r="E36" s="372"/>
      <c r="F36" s="282" t="s">
        <v>65</v>
      </c>
      <c r="G36" s="24"/>
    </row>
    <row r="37" spans="1:7" ht="125.4">
      <c r="A37" s="373"/>
      <c r="B37" s="281">
        <v>3.01</v>
      </c>
      <c r="C37" s="283" t="s">
        <v>66</v>
      </c>
      <c r="D37" s="277" t="s">
        <v>2155</v>
      </c>
      <c r="E37" s="284" t="s">
        <v>1282</v>
      </c>
      <c r="F37" s="285" t="s">
        <v>1384</v>
      </c>
      <c r="G37" s="24"/>
    </row>
    <row r="38" spans="1:7" ht="114">
      <c r="A38" s="373"/>
      <c r="B38" s="281">
        <v>3.02</v>
      </c>
      <c r="C38" s="283" t="s">
        <v>1314</v>
      </c>
      <c r="D38" s="277" t="s">
        <v>2156</v>
      </c>
      <c r="E38" s="284" t="s">
        <v>1329</v>
      </c>
      <c r="F38" s="285" t="s">
        <v>1385</v>
      </c>
      <c r="G38" s="24"/>
    </row>
    <row r="39" spans="1:7" ht="102.6">
      <c r="A39" s="373"/>
      <c r="B39" s="286">
        <v>4</v>
      </c>
      <c r="C39" s="287" t="s">
        <v>1480</v>
      </c>
      <c r="D39" s="277" t="s">
        <v>2157</v>
      </c>
      <c r="E39" s="276" t="s">
        <v>2104</v>
      </c>
      <c r="F39" s="276" t="s">
        <v>1481</v>
      </c>
      <c r="G39" s="24"/>
    </row>
    <row r="40" spans="1:7" ht="57">
      <c r="A40" s="373"/>
      <c r="B40" s="281">
        <v>4.01</v>
      </c>
      <c r="C40" s="287" t="s">
        <v>1480</v>
      </c>
      <c r="D40" s="277" t="s">
        <v>2159</v>
      </c>
      <c r="E40" s="276" t="s">
        <v>2116</v>
      </c>
      <c r="F40" s="276" t="s">
        <v>2120</v>
      </c>
      <c r="G40" s="24"/>
    </row>
    <row r="41" spans="1:7" ht="57">
      <c r="A41" s="373"/>
      <c r="B41" s="281" t="s">
        <v>2146</v>
      </c>
      <c r="C41" s="287" t="s">
        <v>1480</v>
      </c>
      <c r="D41" s="277" t="s">
        <v>2158</v>
      </c>
      <c r="E41" s="276" t="s">
        <v>2149</v>
      </c>
      <c r="F41" s="276" t="s">
        <v>2147</v>
      </c>
      <c r="G41" s="24"/>
    </row>
    <row r="42" spans="1:7" ht="57">
      <c r="A42" s="373"/>
      <c r="B42" s="281" t="s">
        <v>2173</v>
      </c>
      <c r="C42" s="287" t="s">
        <v>1480</v>
      </c>
      <c r="D42" s="277" t="s">
        <v>2178</v>
      </c>
      <c r="E42" s="276" t="s">
        <v>2148</v>
      </c>
      <c r="F42" s="276" t="s">
        <v>2174</v>
      </c>
      <c r="G42" s="24"/>
    </row>
    <row r="43" spans="1:7" ht="159.6">
      <c r="A43" s="373"/>
      <c r="B43" s="288">
        <v>4.0999999999999996</v>
      </c>
      <c r="C43" s="287" t="s">
        <v>2177</v>
      </c>
      <c r="D43" s="289">
        <v>42867</v>
      </c>
      <c r="E43" s="290" t="s">
        <v>2180</v>
      </c>
      <c r="F43" s="276" t="s">
        <v>2179</v>
      </c>
      <c r="G43" s="24"/>
    </row>
    <row r="44" spans="1:7" ht="102.6">
      <c r="A44" s="373"/>
      <c r="B44" s="288">
        <v>4.2</v>
      </c>
      <c r="C44" s="287" t="s">
        <v>2177</v>
      </c>
      <c r="D44" s="289">
        <v>42704</v>
      </c>
      <c r="E44" s="290" t="s">
        <v>2369</v>
      </c>
      <c r="F44" s="276" t="s">
        <v>2344</v>
      </c>
      <c r="G44" s="24"/>
    </row>
    <row r="45" spans="1:7" ht="205.2">
      <c r="A45" s="373"/>
      <c r="B45" s="291">
        <v>5</v>
      </c>
      <c r="C45" s="287" t="s">
        <v>2177</v>
      </c>
      <c r="D45" s="289">
        <v>42867</v>
      </c>
      <c r="E45" s="290" t="s">
        <v>12256</v>
      </c>
      <c r="F45" s="276" t="s">
        <v>11978</v>
      </c>
      <c r="G45" s="24"/>
    </row>
    <row r="46" spans="1:7" ht="57">
      <c r="A46" s="373"/>
      <c r="B46" s="288">
        <v>5.01</v>
      </c>
      <c r="C46" s="287" t="s">
        <v>2177</v>
      </c>
      <c r="D46" s="289">
        <v>42907</v>
      </c>
      <c r="E46" s="290" t="s">
        <v>14886</v>
      </c>
      <c r="F46" s="276" t="s">
        <v>11978</v>
      </c>
      <c r="G46" s="24"/>
    </row>
    <row r="47" spans="1:7" ht="91.2">
      <c r="A47" s="373"/>
      <c r="B47" s="288">
        <v>5.0999999999999996</v>
      </c>
      <c r="C47" s="287" t="s">
        <v>2177</v>
      </c>
      <c r="D47" s="289">
        <v>43070</v>
      </c>
      <c r="E47" s="290" t="s">
        <v>12456</v>
      </c>
      <c r="F47" s="276" t="s">
        <v>12457</v>
      </c>
      <c r="G47" s="24"/>
    </row>
    <row r="48" spans="1:7" ht="79.8">
      <c r="A48" s="373"/>
      <c r="B48" s="288">
        <v>5.1100000000000003</v>
      </c>
      <c r="C48" s="287" t="s">
        <v>12684</v>
      </c>
      <c r="D48" s="289">
        <v>43217</v>
      </c>
      <c r="E48" s="290" t="s">
        <v>12786</v>
      </c>
      <c r="F48" s="276" t="s">
        <v>12711</v>
      </c>
      <c r="G48" s="24"/>
    </row>
    <row r="49" spans="1:7" ht="79.8">
      <c r="A49" s="373"/>
      <c r="B49" s="288">
        <v>5.12</v>
      </c>
      <c r="C49" s="287" t="s">
        <v>12684</v>
      </c>
      <c r="D49" s="289">
        <v>43581</v>
      </c>
      <c r="E49" s="290" t="s">
        <v>12786</v>
      </c>
      <c r="F49" s="276" t="s">
        <v>13315</v>
      </c>
      <c r="G49" s="24"/>
    </row>
    <row r="50" spans="1:7" ht="114">
      <c r="A50" s="373"/>
      <c r="B50" s="291">
        <v>6</v>
      </c>
      <c r="C50" s="287" t="s">
        <v>12684</v>
      </c>
      <c r="D50" s="289">
        <v>43964</v>
      </c>
      <c r="E50" s="290" t="s">
        <v>13527</v>
      </c>
      <c r="F50" s="276" t="s">
        <v>13318</v>
      </c>
      <c r="G50" s="24"/>
    </row>
    <row r="51" spans="1:7" ht="57">
      <c r="A51" s="373"/>
      <c r="B51" s="288">
        <v>6.01</v>
      </c>
      <c r="C51" s="287" t="s">
        <v>12684</v>
      </c>
      <c r="D51" s="289">
        <v>43970</v>
      </c>
      <c r="E51" s="290" t="s">
        <v>14887</v>
      </c>
      <c r="F51" s="290" t="s">
        <v>13318</v>
      </c>
      <c r="G51" s="24"/>
    </row>
    <row r="52" spans="1:7" ht="57">
      <c r="A52" s="373"/>
      <c r="B52" s="288">
        <v>6.1</v>
      </c>
      <c r="C52" s="287" t="s">
        <v>12684</v>
      </c>
      <c r="D52" s="289">
        <v>44314</v>
      </c>
      <c r="E52" s="290" t="s">
        <v>14880</v>
      </c>
      <c r="F52" s="290" t="s">
        <v>14487</v>
      </c>
      <c r="G52" s="24"/>
    </row>
    <row r="53" spans="1:7" ht="57">
      <c r="A53" s="373"/>
      <c r="B53" s="288">
        <v>6.2</v>
      </c>
      <c r="C53" s="287" t="s">
        <v>12684</v>
      </c>
      <c r="D53" s="289">
        <v>44678</v>
      </c>
      <c r="E53" s="290" t="s">
        <v>14880</v>
      </c>
      <c r="F53" s="290" t="s">
        <v>14879</v>
      </c>
      <c r="G53" s="24"/>
    </row>
    <row r="54" spans="1:7" ht="57">
      <c r="A54" s="373"/>
      <c r="B54" s="288">
        <v>6.21</v>
      </c>
      <c r="C54" s="287" t="s">
        <v>12684</v>
      </c>
      <c r="D54" s="289">
        <v>44687</v>
      </c>
      <c r="E54" s="290" t="s">
        <v>14888</v>
      </c>
      <c r="F54" s="290" t="s">
        <v>14879</v>
      </c>
      <c r="G54" s="24"/>
    </row>
    <row r="55" spans="1:7" ht="57">
      <c r="A55" s="373"/>
      <c r="B55" s="288">
        <v>6.22</v>
      </c>
      <c r="C55" s="287" t="s">
        <v>12684</v>
      </c>
      <c r="D55" s="292">
        <v>44692</v>
      </c>
      <c r="E55" s="290" t="s">
        <v>14887</v>
      </c>
      <c r="F55" s="290" t="s">
        <v>14879</v>
      </c>
      <c r="G55" s="24"/>
    </row>
    <row r="56" spans="1:7" ht="79.8">
      <c r="A56" s="373"/>
      <c r="B56" s="291">
        <v>6.3</v>
      </c>
      <c r="C56" s="287" t="s">
        <v>12684</v>
      </c>
      <c r="D56" s="292">
        <v>45051</v>
      </c>
      <c r="E56" s="290" t="s">
        <v>15144</v>
      </c>
      <c r="F56" s="290" t="s">
        <v>14925</v>
      </c>
      <c r="G56" s="24"/>
    </row>
    <row r="57" spans="1:7" ht="57">
      <c r="A57" s="373"/>
      <c r="B57" s="288">
        <v>6.31</v>
      </c>
      <c r="C57" s="287" t="s">
        <v>12684</v>
      </c>
      <c r="D57" s="292">
        <v>45072</v>
      </c>
      <c r="E57" s="290" t="s">
        <v>15146</v>
      </c>
      <c r="F57" s="290" t="s">
        <v>14925</v>
      </c>
      <c r="G57" s="24"/>
    </row>
    <row r="58" spans="1:7" ht="57">
      <c r="A58" s="373"/>
      <c r="B58" s="291">
        <v>6.4</v>
      </c>
      <c r="C58" s="287" t="s">
        <v>12684</v>
      </c>
      <c r="D58" s="292">
        <v>45408</v>
      </c>
      <c r="E58" s="290" t="s">
        <v>15148</v>
      </c>
      <c r="F58" s="290" t="s">
        <v>15147</v>
      </c>
      <c r="G58" s="24"/>
    </row>
    <row r="59" spans="1:7" ht="57">
      <c r="A59" s="373"/>
      <c r="B59" s="291">
        <v>6.5</v>
      </c>
      <c r="C59" s="287" t="s">
        <v>12684</v>
      </c>
      <c r="D59" s="292">
        <v>45772</v>
      </c>
      <c r="E59" s="290" t="s">
        <v>15217</v>
      </c>
      <c r="F59" s="290" t="s">
        <v>15259</v>
      </c>
      <c r="G59" s="24"/>
    </row>
    <row r="60" spans="1:7" ht="79.8">
      <c r="A60" s="373"/>
      <c r="B60" s="291">
        <v>6.6</v>
      </c>
      <c r="C60" s="287" t="s">
        <v>12684</v>
      </c>
      <c r="D60" s="292">
        <v>46129</v>
      </c>
      <c r="E60" s="290" t="s">
        <v>15870</v>
      </c>
      <c r="F60" s="293" t="s">
        <v>15352</v>
      </c>
      <c r="G60" s="24"/>
    </row>
    <row r="61" spans="1:7" ht="13.2" thickBot="1">
      <c r="A61" s="374"/>
      <c r="B61" s="375" t="str">
        <f ca="1">OFFSET(L!$C$1,MATCH("General"&amp;"Cpy",L!$A:$A,0)-1,SL,,)</f>
        <v>© 2026 Responsible Minerals Initiative. All rights reserved.</v>
      </c>
      <c r="C61" s="375"/>
      <c r="D61" s="375"/>
      <c r="E61" s="375"/>
      <c r="F61" s="375"/>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honeticPr fontId="101"/>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90625" defaultRowHeight="12.6"/>
  <cols>
    <col min="1" max="1" width="20.6328125" style="62" customWidth="1"/>
    <col min="2" max="2" width="57.08984375" style="62" customWidth="1"/>
    <col min="3" max="16384" width="8.9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B193DDC0-BB0D-489D-A06D-2B9071D24597}"/>
    </customSheetView>
  </customSheetViews>
  <phoneticPr fontId="101"/>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90625" defaultRowHeight="12.6"/>
  <cols>
    <col min="1" max="1" width="11.08984375" customWidth="1"/>
    <col min="2" max="2" width="25.7265625" customWidth="1"/>
    <col min="3" max="3" width="11.9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15713BFE-FD98-4358-B5E2-667AAE0DD658}"/>
    </customSheetView>
  </customSheetViews>
  <phoneticPr fontId="101"/>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9062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2.4">
      <c r="A2" s="102" t="str">
        <f ca="1">OFFSET(L!$C$1,MATCH("Instructions"&amp;ADDRESS(ROW(),COLUMN(),4),L!$A:$A,0)-1,SL,,)</f>
        <v>Introduction</v>
      </c>
      <c r="B2" s="97" t="s">
        <v>1258</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6.2">
      <c r="A5" s="103"/>
      <c r="B5" s="97"/>
    </row>
    <row r="6" spans="1:2" ht="32.4">
      <c r="A6" s="102" t="str">
        <f ca="1">OFFSET(L!$C$1,MATCH("Instructions"&amp;ADDRESS(ROW(),COLUMN(),4),L!$A:$A,0)-1,SL,,)</f>
        <v>Instructions for completing Company Information questions (rows 8 - 22).
Provide comments in ENGLISH only</v>
      </c>
      <c r="B6" s="97" t="s">
        <v>1258</v>
      </c>
    </row>
    <row r="7" spans="1:2" ht="16.2">
      <c r="A7" s="220" t="str">
        <f ca="1">OFFSET(L!$C$1,MATCH("Instructions"&amp;ADDRESS(ROW(),COLUMN(),4),L!$A:$A,0)-1,SL,,)</f>
        <v xml:space="preserve">Note:  Entries with (*) are mandatory fields. </v>
      </c>
      <c r="B7" s="97"/>
    </row>
    <row r="8" spans="1:2" ht="32.4">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2">
      <c r="A17" s="99" t="str">
        <f ca="1">OFFSET(L!$C$1,MATCH("Instructions"&amp;ADDRESS(ROW(),COLUMN(),4),L!$A:$A,0)-1,SL,,)</f>
        <v>10. Insert the title for the Authorizing person. This field is optional.</v>
      </c>
      <c r="B17" s="97"/>
    </row>
    <row r="18" spans="1:2" ht="32.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2">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
      <c r="A21" s="99" t="str">
        <f ca="1">OFFSET(L!$C$1,MATCH("Instructions"&amp;ADDRESS(ROW(),COLUMN(),4),L!$A:$A,0)-1,SL,,)</f>
        <v xml:space="preserve">14. As an example, the user may save the file name as:  companyname-date.xls (date as YYYY-MM-DD).  </v>
      </c>
      <c r="B21" s="97" t="s">
        <v>1258</v>
      </c>
    </row>
    <row r="22" spans="1:2" ht="16.2">
      <c r="A22" s="103"/>
      <c r="B22" s="97"/>
    </row>
    <row r="23" spans="1:2" ht="32.4">
      <c r="A23" s="102" t="str">
        <f ca="1">OFFSET(L!$C$1,MATCH("Instructions"&amp;ADDRESS(ROW(),COLUMN(),4),L!$A:$A,0)-1,SL,,)</f>
        <v>Instructions for completing the eight Due Diligence Questions (rows 24 - 71).
Provide answers in ENGLISH only</v>
      </c>
      <c r="B23" s="97" t="s">
        <v>1258</v>
      </c>
    </row>
    <row r="24" spans="1:2" ht="80.7"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9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2.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9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6.2">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45.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4.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7"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29.6">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6.2">
      <c r="A47" s="103"/>
      <c r="B47" s="97"/>
    </row>
    <row r="48" spans="1:2" ht="32.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4.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7" customHeight="1">
      <c r="A52" s="99" t="str">
        <f ca="1">OFFSET(L!$C$1,MATCH("Instructions"&amp;ADDRESS(ROW(),COLUMN(),4),L!$A:$A,0)-1,SL,,)</f>
        <v>2. Metal (*)   -   Use the pull down menu to select the metal for which you are entering smelter information.  This field is mandatory.</v>
      </c>
      <c r="B52" s="97"/>
    </row>
    <row r="53" spans="1:2" ht="79.2"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4.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4.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4.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4.8">
      <c r="A58" s="99" t="str">
        <f ca="1">OFFSET(L!$C$1,MATCH("Instructions"&amp;ADDRESS(ROW(),COLUMN(),4),L!$A:$A,0)-1,SL,,)</f>
        <v>8. Smelter Street -  Provide the street name on which the smelter is located. This field is optional.</v>
      </c>
      <c r="B58" s="97" t="s">
        <v>1257</v>
      </c>
    </row>
    <row r="59" spans="1:2" ht="32.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4.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7"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2">
      <c r="A67" s="104"/>
      <c r="B67" s="97"/>
    </row>
    <row r="68" spans="1:2" ht="34.5" customHeight="1">
      <c r="A68" s="102" t="str">
        <f ca="1">OFFSET(L!$C$1,MATCH("Instructions"&amp;ADDRESS(ROW(),COLUMN(),4),L!$A:$A,0)-1,SL,,)</f>
        <v>TERMS AND CONDITIONS</v>
      </c>
      <c r="B68" s="97"/>
    </row>
    <row r="69" spans="1:2" ht="16.2">
      <c r="A69" s="104"/>
      <c r="B69" s="97"/>
    </row>
    <row r="70" spans="1:2" ht="80.7"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69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phoneticPr fontId="101"/>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90625" defaultRowHeight="12.6"/>
  <cols>
    <col min="1" max="1" width="1.6328125" customWidth="1"/>
    <col min="2" max="2" width="35.6328125" customWidth="1"/>
    <col min="3" max="3" width="105.6328125" customWidth="1"/>
    <col min="4" max="5" width="1.6328125" customWidth="1"/>
    <col min="6" max="6" width="4.6328125" customWidth="1"/>
    <col min="7" max="7" width="4.90625" customWidth="1"/>
  </cols>
  <sheetData>
    <row r="1" spans="1:5" ht="13.2"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4.2"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48.6">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45.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4.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8.6">
      <c r="A10" s="71"/>
      <c r="B10" s="60" t="str">
        <f ca="1">OFFSET(L!$C$1,MATCH("Definitions"&amp;ADDRESS(ROW(),COLUMN(),4),L!$A:$A,0)-1,SL,,)</f>
        <v>DRC</v>
      </c>
      <c r="C10" s="60" t="str">
        <f ca="1">OFFSET(L!$C$1,MATCH("Definitions"&amp;ADDRESS(ROW(),COLUMN(),4),L!$A:$A,0)-1,SL,,)</f>
        <v>Democratic Republic of Congo</v>
      </c>
      <c r="D10" s="386"/>
      <c r="E10" s="97" t="s">
        <v>1266</v>
      </c>
    </row>
    <row r="11" spans="1:5" ht="64.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4.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4.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78.2">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6.2">
      <c r="A19" s="71"/>
      <c r="B19" s="60" t="str">
        <f ca="1">OFFSET(L!$C$1,MATCH("Definitions"&amp;ADDRESS(ROW(),COLUMN(),4),L!$A:$A,0)-1,SL,,)</f>
        <v>OECD</v>
      </c>
      <c r="C19" s="60" t="str">
        <f ca="1">OFFSET(L!$C$1,MATCH("Definitions"&amp;ADDRESS(ROW(),COLUMN(),4),L!$A:$A,0)-1,SL,,)</f>
        <v>Organisation for Economic Co-operation and Development</v>
      </c>
      <c r="D19" s="386"/>
      <c r="E19" s="97"/>
    </row>
    <row r="20" spans="1:5" ht="32.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6.2">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48.6">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81">
      <c r="A26" s="71"/>
      <c r="B26" s="60" t="str">
        <f ca="1">OFFSET(L!$C$1,MATCH("Definitions"&amp;ADDRESS(ROW(),COLUMN(),4),L!$A:$A,0)-1,SL,,)</f>
        <v>SEC</v>
      </c>
      <c r="C26" s="60" t="str">
        <f ca="1">OFFSET(L!$C$1,MATCH("Definitions"&amp;ADDRESS(ROW(),COLUMN(),4),L!$A:$A,0)-1,SL,,)</f>
        <v>U.S. Securities and Exchange Commission (www.sec.gov)</v>
      </c>
      <c r="D26" s="386"/>
      <c r="E26" s="97" t="s">
        <v>1268</v>
      </c>
    </row>
    <row r="27" spans="1:5" ht="64.8">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4.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97.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3.19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6.2">
      <c r="A32" s="71"/>
      <c r="B32" s="385" t="str">
        <f ca="1">OFFSET(L!$C$1,MATCH("General"&amp;"Cpy",L!$A:$A,0)-1,SL,,)</f>
        <v>© 2026 Responsible Minerals Initiative. All rights reserved.</v>
      </c>
      <c r="C32" s="385"/>
      <c r="D32" s="386"/>
      <c r="E32" s="97"/>
    </row>
    <row r="33" spans="1:4" ht="13.2" thickBot="1">
      <c r="A33" s="72"/>
      <c r="B33" s="146"/>
      <c r="C33" s="146"/>
      <c r="D33" s="387"/>
    </row>
    <row r="34" spans="1:4" ht="13.2"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honeticPr fontId="101"/>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F3" sqref="F3:H3"/>
    </sheetView>
  </sheetViews>
  <sheetFormatPr defaultColWidth="8.90625" defaultRowHeight="12.6"/>
  <cols>
    <col min="1" max="1" width="1.90625" customWidth="1"/>
    <col min="2" max="2" width="83.08984375" customWidth="1"/>
    <col min="3" max="3" width="1.6328125" customWidth="1"/>
    <col min="4" max="5" width="16.6328125" customWidth="1"/>
    <col min="6" max="6" width="1.6328125" customWidth="1"/>
    <col min="7" max="9" width="16.6328125" customWidth="1"/>
    <col min="10" max="10" width="17.90625" customWidth="1"/>
    <col min="11" max="11" width="1.6328125" customWidth="1"/>
    <col min="12" max="12" width="3.6328125" hidden="1" customWidth="1"/>
    <col min="13" max="15" width="4.90625" hidden="1" customWidth="1"/>
    <col min="16" max="24" width="9.08984375" hidden="1" customWidth="1"/>
    <col min="25" max="25" width="8.90625" hidden="1" customWidth="1"/>
  </cols>
  <sheetData>
    <row r="1" spans="1:34" ht="16.8" thickTop="1">
      <c r="A1" s="312"/>
      <c r="B1" s="313"/>
      <c r="C1" s="313"/>
      <c r="D1" s="313"/>
      <c r="E1" s="313"/>
      <c r="F1" s="313"/>
      <c r="G1" s="313"/>
      <c r="H1" s="313"/>
      <c r="I1" s="313"/>
      <c r="J1" s="313"/>
      <c r="K1" s="314"/>
      <c r="L1" s="97"/>
      <c r="P1" s="2"/>
      <c r="Q1" s="2"/>
      <c r="R1" s="2"/>
      <c r="S1" s="2"/>
      <c r="T1" s="2"/>
      <c r="U1" s="2"/>
      <c r="V1" s="2"/>
      <c r="W1" s="2"/>
      <c r="X1" s="2"/>
      <c r="Y1" s="2"/>
      <c r="Z1" s="2"/>
      <c r="AA1" s="2"/>
      <c r="AB1" s="2"/>
      <c r="AC1" s="2"/>
      <c r="AD1" s="2"/>
      <c r="AE1" s="2"/>
      <c r="AF1" s="2"/>
      <c r="AG1" s="2"/>
      <c r="AH1" s="2"/>
    </row>
    <row r="2" spans="1:34" ht="82.35" customHeight="1">
      <c r="A2" s="31"/>
      <c r="B2" s="133"/>
      <c r="C2" s="32"/>
      <c r="D2" s="315" t="str">
        <f ca="1">OFFSET(L!$C$1,MATCH("Declaration"&amp;ADDRESS(ROW(),COLUMN(),4),L!$A:$A,0)-1,SL,,)</f>
        <v>Conflict Minerals Reporting Template (CMRT)</v>
      </c>
      <c r="E2" s="316"/>
      <c r="F2" s="316"/>
      <c r="G2" s="316"/>
      <c r="H2" s="316"/>
      <c r="I2" s="316"/>
      <c r="J2" s="31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28"/>
      <c r="G3" s="328"/>
      <c r="H3" s="328"/>
      <c r="I3" s="145"/>
      <c r="J3" s="135" t="s">
        <v>15370</v>
      </c>
      <c r="K3" s="33"/>
      <c r="L3" s="97"/>
      <c r="P3" s="42">
        <f>MATCH($D$3,LN,0)</f>
        <v>1</v>
      </c>
    </row>
    <row r="4" spans="1:34" ht="16.2">
      <c r="A4" s="31"/>
      <c r="B4" s="324" t="str">
        <f ca="1">OFFSET(L!$C$1,MATCH("Declaration"&amp;ADDRESS(ROW(),COLUMN(),4),L!$A:$A,0)-1,SL,,)</f>
        <v>The purpose of this document is to collect sourcing information on tin, tantalum, tungsten and gold used in products</v>
      </c>
      <c r="C4" s="324"/>
      <c r="D4" s="324"/>
      <c r="E4" s="324"/>
      <c r="F4" s="324"/>
      <c r="G4" s="324"/>
      <c r="H4" s="324"/>
      <c r="I4" s="329" t="str">
        <f ca="1">OFFSET(L!$C$1,MATCH("Declaration"&amp;ADDRESS(ROW(),COLUMN(),4),L!$A:$A,0)-1,SL,,)</f>
        <v>Link to Terms &amp; Conditions</v>
      </c>
      <c r="J4" s="329"/>
      <c r="K4" s="33"/>
      <c r="L4" s="112"/>
      <c r="P4" s="2"/>
      <c r="Q4" s="2"/>
      <c r="R4" s="2"/>
      <c r="S4" s="2"/>
      <c r="T4" s="2"/>
      <c r="U4" s="2"/>
      <c r="V4" s="2"/>
      <c r="W4" s="2"/>
      <c r="X4" s="2"/>
      <c r="Y4" s="2"/>
      <c r="Z4" s="2"/>
      <c r="AA4" s="2"/>
      <c r="AB4" s="2"/>
      <c r="AC4" s="2"/>
      <c r="AD4" s="2"/>
      <c r="AE4" s="2"/>
      <c r="AF4" s="2"/>
      <c r="AG4" s="2"/>
      <c r="AH4" s="2"/>
    </row>
    <row r="5" spans="1:34" ht="16.2">
      <c r="A5" s="131" t="str">
        <f>LEFT(D9,1)</f>
        <v>B</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24" t="str">
        <f ca="1">OFFSET(L!$C$1,MATCH("Declaration"&amp;ADDRESS(ROW(),COLUMN(),4),L!$A:$A,0)-1,SL,,)</f>
        <v>Mandatory fields are noted with an asterisk (*).  Consult the instructions tab for guidance on how to answer each question.</v>
      </c>
      <c r="C6" s="324"/>
      <c r="D6" s="324"/>
      <c r="E6" s="324"/>
      <c r="F6" s="324"/>
      <c r="G6" s="324"/>
      <c r="H6" s="324"/>
      <c r="I6" s="324"/>
      <c r="J6" s="324"/>
      <c r="K6" s="33"/>
      <c r="L6" s="112" t="s">
        <v>428</v>
      </c>
      <c r="P6" s="2"/>
      <c r="Q6" s="2"/>
      <c r="R6" s="2"/>
      <c r="S6" s="2"/>
      <c r="T6" s="2"/>
      <c r="U6" s="2"/>
      <c r="V6" s="2"/>
      <c r="W6" s="2"/>
      <c r="X6" s="2"/>
      <c r="Y6" s="2"/>
      <c r="Z6" s="2"/>
      <c r="AA6" s="2"/>
      <c r="AB6" s="2"/>
      <c r="AC6" s="2"/>
      <c r="AD6" s="2"/>
      <c r="AE6" s="2"/>
      <c r="AF6" s="2"/>
      <c r="AG6" s="2"/>
      <c r="AH6" s="2"/>
    </row>
    <row r="7" spans="1:34" ht="37.200000000000003" customHeight="1">
      <c r="A7" s="31"/>
      <c r="B7" s="333" t="str">
        <f ca="1">OFFSET(L!$C$1,MATCH("Declaration"&amp;ADDRESS(ROW(),COLUMN(),4),L!$A:$A,0)-1,SL,,)</f>
        <v>Company Information</v>
      </c>
      <c r="C7" s="333"/>
      <c r="D7" s="333"/>
      <c r="E7" s="333"/>
      <c r="F7" s="333"/>
      <c r="G7" s="333"/>
      <c r="H7" s="333"/>
      <c r="I7" s="333"/>
      <c r="J7" s="333"/>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Company Name (*):</v>
      </c>
      <c r="C8" s="73"/>
      <c r="D8" s="318" t="s">
        <v>15895</v>
      </c>
      <c r="E8" s="319"/>
      <c r="F8" s="319"/>
      <c r="G8" s="319"/>
      <c r="H8" s="319"/>
      <c r="I8" s="319"/>
      <c r="J8" s="320"/>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Declaration Scope or Class (*):</v>
      </c>
      <c r="C9" s="73"/>
      <c r="D9" s="330" t="s">
        <v>480</v>
      </c>
      <c r="E9" s="331"/>
      <c r="F9" s="331"/>
      <c r="G9" s="33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700000000000003" customHeight="1">
      <c r="A10" s="35"/>
      <c r="B10" s="334" t="str">
        <f ca="1">OFFSET(L!$C$1,MATCH("Declaration"&amp;ADDRESS(ROW(),COLUMN(),4)&amp;LEFT($D$9,1),L!$A:$A,0)-1,SL,,)</f>
        <v>Go to Product List tab to enter products this declaration applies to</v>
      </c>
      <c r="C10" s="119"/>
      <c r="D10" s="325"/>
      <c r="E10" s="326"/>
      <c r="F10" s="326"/>
      <c r="G10" s="326"/>
      <c r="H10" s="326"/>
      <c r="I10" s="326"/>
      <c r="J10" s="327"/>
      <c r="K10" s="33"/>
      <c r="L10" s="112"/>
      <c r="Q10" s="2"/>
      <c r="R10" s="2"/>
      <c r="S10" s="2"/>
      <c r="T10" s="2"/>
      <c r="U10" s="2"/>
      <c r="V10" s="2"/>
      <c r="W10" s="2"/>
      <c r="X10" s="2"/>
      <c r="Y10" s="2"/>
      <c r="Z10" s="2"/>
      <c r="AA10" s="2"/>
      <c r="AB10" s="2"/>
      <c r="AC10" s="2"/>
      <c r="AD10" s="2"/>
      <c r="AE10" s="2"/>
      <c r="AF10" s="2"/>
      <c r="AG10" s="2"/>
      <c r="AH10" s="2"/>
    </row>
    <row r="11" spans="1:34" ht="16.2">
      <c r="A11" s="35"/>
      <c r="B11" s="335"/>
      <c r="C11" s="119"/>
      <c r="D11" s="341" t="str">
        <f ca="1">IF(D9=Q9,OFFSET(L!$C$1,MATCH("Declaration"&amp;ADDRESS(ROW(),COLUMN(),4),L!$A:$A,0)-1,SL,,),"")</f>
        <v>Click here to enter the products this declaration applies to</v>
      </c>
      <c r="E11" s="342"/>
      <c r="F11" s="342"/>
      <c r="G11" s="342"/>
      <c r="H11" s="342"/>
      <c r="I11" s="342"/>
      <c r="J11" s="343"/>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Address:</v>
      </c>
      <c r="C14" s="74"/>
      <c r="D14" s="321" t="s">
        <v>15898</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Contact Name (*):</v>
      </c>
      <c r="C15" s="74"/>
      <c r="D15" s="321" t="s">
        <v>15895</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Email – Contact (*):</v>
      </c>
      <c r="C16" s="74"/>
      <c r="D16" s="336" t="s">
        <v>15896</v>
      </c>
      <c r="E16" s="337"/>
      <c r="F16" s="337"/>
      <c r="G16" s="337"/>
      <c r="H16" s="337"/>
      <c r="I16" s="337"/>
      <c r="J16" s="338"/>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Phone – Contact (*):</v>
      </c>
      <c r="C17" s="74"/>
      <c r="D17" s="321" t="s">
        <v>15897</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Authorizer (*):</v>
      </c>
      <c r="C18" s="74"/>
      <c r="D18" s="354" t="s">
        <v>15895</v>
      </c>
      <c r="E18" s="355"/>
      <c r="F18" s="355"/>
      <c r="G18" s="355"/>
      <c r="H18" s="355"/>
      <c r="I18" s="355"/>
      <c r="J18" s="356"/>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Title - Authorizer:</v>
      </c>
      <c r="C19" s="74"/>
      <c r="D19" s="321" t="s">
        <v>15898</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Email - Authorizer (*):</v>
      </c>
      <c r="C20" s="74"/>
      <c r="D20" s="336" t="s">
        <v>15896</v>
      </c>
      <c r="E20" s="337"/>
      <c r="F20" s="337"/>
      <c r="G20" s="337"/>
      <c r="H20" s="337"/>
      <c r="I20" s="337"/>
      <c r="J20" s="338"/>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Phone - Authorizer:</v>
      </c>
      <c r="C21" s="130"/>
      <c r="D21" s="294" t="s">
        <v>15879</v>
      </c>
      <c r="E21" s="295"/>
      <c r="F21" s="295"/>
      <c r="G21" s="295"/>
      <c r="H21" s="295"/>
      <c r="I21" s="295"/>
      <c r="J21" s="296"/>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Effective Date (*):</v>
      </c>
      <c r="C22" s="75"/>
      <c r="D22" s="299">
        <v>46211</v>
      </c>
      <c r="E22" s="30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46"/>
      <c r="E23" s="34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01" t="str">
        <f ca="1">OFFSET(L!$C$1,MATCH("Declaration"&amp;ADDRESS(ROW(),COLUMN(),4),L!$A:$A,0)-1,SL,,)</f>
        <v>Answer the following questions 1 - 8 based on the declaration scope indicated above</v>
      </c>
      <c r="C24" s="301"/>
      <c r="D24" s="301"/>
      <c r="E24" s="301"/>
      <c r="F24" s="301"/>
      <c r="G24" s="301"/>
      <c r="H24" s="301"/>
      <c r="I24" s="301"/>
      <c r="J24" s="30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8" t="str">
        <f ca="1">OFFSET(L!$C$1,MATCH("Declaration"&amp;ADDRESS(ROW(),COLUMN(),4),L!$A:$A,0)-1,SL,,)</f>
        <v>Answer</v>
      </c>
      <c r="E25" s="30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 xml:space="preserve">Tantalum  </v>
      </c>
      <c r="C26" s="32"/>
      <c r="D26" s="297" t="s">
        <v>474</v>
      </c>
      <c r="E26" s="298"/>
      <c r="F26" s="11"/>
      <c r="G26" s="305"/>
      <c r="H26" s="306"/>
      <c r="I26" s="306"/>
      <c r="J26" s="307"/>
      <c r="K26" s="33"/>
      <c r="L26" s="113"/>
      <c r="P26" s="42" t="str">
        <f>IF(D$26="No","","(*)")</f>
        <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Tin  (*)</v>
      </c>
      <c r="C27" s="32"/>
      <c r="D27" s="297" t="s">
        <v>473</v>
      </c>
      <c r="E27" s="298"/>
      <c r="F27" s="11"/>
      <c r="G27" s="305"/>
      <c r="H27" s="306"/>
      <c r="I27" s="306"/>
      <c r="J27" s="307"/>
      <c r="K27" s="33"/>
      <c r="L27" s="113"/>
      <c r="P27" s="42" t="str">
        <f>IF(D$27="No","","(*)")</f>
        <v>(*)</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 xml:space="preserve">Gold  </v>
      </c>
      <c r="C28" s="32"/>
      <c r="D28" s="297" t="s">
        <v>474</v>
      </c>
      <c r="E28" s="298"/>
      <c r="F28" s="11"/>
      <c r="G28" s="305"/>
      <c r="H28" s="306"/>
      <c r="I28" s="306"/>
      <c r="J28" s="307"/>
      <c r="K28" s="33"/>
      <c r="L28" s="113"/>
      <c r="P28" s="42" t="str">
        <f>IF(D$28="No","","(*)")</f>
        <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 xml:space="preserve">Tungsten  </v>
      </c>
      <c r="C29" s="32"/>
      <c r="D29" s="297" t="s">
        <v>474</v>
      </c>
      <c r="E29" s="298"/>
      <c r="F29" s="11"/>
      <c r="G29" s="305"/>
      <c r="H29" s="306"/>
      <c r="I29" s="306"/>
      <c r="J29" s="307"/>
      <c r="K29" s="33"/>
      <c r="L29" s="113"/>
      <c r="P29" s="42" t="str">
        <f>IF(D$29="No","","(*)")</f>
        <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2" t="str">
        <f ca="1">D25</f>
        <v>Answer</v>
      </c>
      <c r="E31" s="302"/>
      <c r="F31" s="17"/>
      <c r="G31" s="41" t="str">
        <f ca="1">G25</f>
        <v>Comments</v>
      </c>
      <c r="H31" s="41"/>
      <c r="I31" s="41"/>
      <c r="J31" s="80"/>
      <c r="K31" s="33"/>
      <c r="L31" s="108" t="s">
        <v>1197</v>
      </c>
      <c r="P31" s="42">
        <f>COUNTIF(D$26:D$29,"No")</f>
        <v>3</v>
      </c>
      <c r="Q31" s="42" t="str">
        <f>IF(P31=4,""," (*)")</f>
        <v xml:space="preserve"> (*)</v>
      </c>
      <c r="R31" s="2"/>
      <c r="S31" s="2"/>
      <c r="T31" s="2"/>
      <c r="U31" s="2"/>
      <c r="V31" s="2"/>
      <c r="W31" s="2"/>
      <c r="X31" s="2"/>
      <c r="Y31" s="2"/>
      <c r="Z31" s="2"/>
      <c r="AA31" s="2"/>
      <c r="AB31" s="2"/>
      <c r="AC31" s="2"/>
      <c r="AD31" s="2"/>
      <c r="AE31" s="2"/>
      <c r="AF31" s="2"/>
      <c r="AG31" s="2"/>
      <c r="AH31" s="2"/>
    </row>
    <row r="32" spans="1:34" ht="22.2">
      <c r="A32" s="38"/>
      <c r="B32" s="37" t="str">
        <f ca="1">B26</f>
        <v xml:space="preserve">Tantalum  </v>
      </c>
      <c r="C32" s="9"/>
      <c r="D32" s="303"/>
      <c r="E32" s="304"/>
      <c r="F32" s="44"/>
      <c r="G32" s="305"/>
      <c r="H32" s="306"/>
      <c r="I32" s="306"/>
      <c r="J32" s="307"/>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Tin  (*)</v>
      </c>
      <c r="C33" s="9"/>
      <c r="D33" s="297" t="s">
        <v>473</v>
      </c>
      <c r="E33" s="298"/>
      <c r="F33" s="44"/>
      <c r="G33" s="305"/>
      <c r="H33" s="306"/>
      <c r="I33" s="306"/>
      <c r="J33" s="307"/>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 xml:space="preserve">Gold  </v>
      </c>
      <c r="C34" s="9"/>
      <c r="D34" s="297"/>
      <c r="E34" s="298"/>
      <c r="F34" s="44"/>
      <c r="G34" s="305"/>
      <c r="H34" s="306"/>
      <c r="I34" s="306"/>
      <c r="J34" s="307"/>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 xml:space="preserve">Tungsten  </v>
      </c>
      <c r="C35" s="9"/>
      <c r="D35" s="297"/>
      <c r="E35" s="298"/>
      <c r="F35" s="44"/>
      <c r="G35" s="305"/>
      <c r="H35" s="306"/>
      <c r="I35" s="306"/>
      <c r="J35" s="307"/>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2" t="str">
        <f ca="1">D25</f>
        <v>Answer</v>
      </c>
      <c r="E37" s="302"/>
      <c r="F37" s="17"/>
      <c r="G37" s="41" t="str">
        <f ca="1">G25</f>
        <v>Comments</v>
      </c>
      <c r="H37" s="345"/>
      <c r="I37" s="345"/>
      <c r="J37" s="345"/>
      <c r="K37" s="33"/>
      <c r="L37" s="108" t="s">
        <v>1197</v>
      </c>
      <c r="P37" s="42">
        <f>COUNTIF(D$26:D$29,"No")+COUNTIF(D$32:D$35,"No")</f>
        <v>3</v>
      </c>
      <c r="Q37" s="42" t="str">
        <f>IF(P37&gt;3,""," (*)")</f>
        <v xml:space="preserve">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 xml:space="preserve">Tantalum  </v>
      </c>
      <c r="C38" s="9"/>
      <c r="D38" s="297"/>
      <c r="E38" s="298"/>
      <c r="F38" s="44"/>
      <c r="G38" s="305"/>
      <c r="H38" s="306"/>
      <c r="I38" s="306"/>
      <c r="J38" s="307"/>
      <c r="K38" s="33"/>
      <c r="L38" s="113"/>
      <c r="P38" s="42" t="str">
        <f>IF((OR(D$26="No",D$32="No")),"","(*)")</f>
        <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Tin  (*)</v>
      </c>
      <c r="C39" s="9"/>
      <c r="D39" s="297" t="s">
        <v>473</v>
      </c>
      <c r="E39" s="298"/>
      <c r="F39" s="44"/>
      <c r="G39" s="305" t="s">
        <v>15883</v>
      </c>
      <c r="H39" s="306"/>
      <c r="I39" s="306"/>
      <c r="J39" s="307"/>
      <c r="K39" s="33"/>
      <c r="L39" s="113"/>
      <c r="P39" s="42" t="str">
        <f>IF((OR(D$27="No",D$33="No")),"","(*)")</f>
        <v>(*)</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 xml:space="preserve">Gold  </v>
      </c>
      <c r="C40" s="9"/>
      <c r="D40" s="297"/>
      <c r="E40" s="298"/>
      <c r="F40" s="44"/>
      <c r="G40" s="305"/>
      <c r="H40" s="306"/>
      <c r="I40" s="306"/>
      <c r="J40" s="307"/>
      <c r="K40" s="33"/>
      <c r="L40" s="113"/>
      <c r="P40" s="42" t="str">
        <f>IF((OR(D$28="No",D$34="No")),"","(*)")</f>
        <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 xml:space="preserve">Tungsten  </v>
      </c>
      <c r="C41" s="9"/>
      <c r="D41" s="297"/>
      <c r="E41" s="298"/>
      <c r="F41" s="44"/>
      <c r="G41" s="305"/>
      <c r="H41" s="306"/>
      <c r="I41" s="306"/>
      <c r="J41" s="307"/>
      <c r="K41" s="33"/>
      <c r="L41" s="113"/>
      <c r="P41" s="42" t="str">
        <f>IF((OR(D$29="No",D$35="No")),"","(*)")</f>
        <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2" t="str">
        <f ca="1">D25</f>
        <v>Answer</v>
      </c>
      <c r="E43" s="302"/>
      <c r="F43" s="17"/>
      <c r="G43" s="41" t="str">
        <f ca="1">G25</f>
        <v>Comments</v>
      </c>
      <c r="H43" s="41"/>
      <c r="I43" s="41"/>
      <c r="J43" s="80"/>
      <c r="K43" s="33"/>
      <c r="L43" s="108"/>
      <c r="P43" s="42">
        <f>COUNTIF(D$26:D$29,"No")+COUNTIF(D$32:D$35,"No")</f>
        <v>3</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7"/>
      <c r="E44" s="298"/>
      <c r="F44" s="44"/>
      <c r="G44" s="305"/>
      <c r="H44" s="306"/>
      <c r="I44" s="306"/>
      <c r="J44" s="30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473</v>
      </c>
      <c r="E45" s="298"/>
      <c r="F45" s="44"/>
      <c r="G45" s="305" t="s">
        <v>15883</v>
      </c>
      <c r="H45" s="306"/>
      <c r="I45" s="306"/>
      <c r="J45" s="30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297"/>
      <c r="E46" s="298"/>
      <c r="F46" s="44"/>
      <c r="G46" s="305"/>
      <c r="H46" s="306"/>
      <c r="I46" s="306"/>
      <c r="J46" s="307"/>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297"/>
      <c r="E47" s="298"/>
      <c r="F47" s="44"/>
      <c r="G47" s="305"/>
      <c r="H47" s="306"/>
      <c r="I47" s="306"/>
      <c r="J47" s="30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2" t="str">
        <f ca="1">D25</f>
        <v>Answer</v>
      </c>
      <c r="E49" s="30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 xml:space="preserve">Tantalum  </v>
      </c>
      <c r="C50" s="9"/>
      <c r="D50" s="297"/>
      <c r="E50" s="298"/>
      <c r="F50" s="44"/>
      <c r="G50" s="305"/>
      <c r="H50" s="306"/>
      <c r="I50" s="306"/>
      <c r="J50" s="307"/>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Tin  (*)</v>
      </c>
      <c r="C51" s="9"/>
      <c r="D51" s="297" t="s">
        <v>474</v>
      </c>
      <c r="E51" s="298"/>
      <c r="F51" s="44"/>
      <c r="G51" s="305"/>
      <c r="H51" s="306"/>
      <c r="I51" s="306"/>
      <c r="J51" s="307"/>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 xml:space="preserve">Gold  </v>
      </c>
      <c r="C52" s="9"/>
      <c r="D52" s="297"/>
      <c r="E52" s="298"/>
      <c r="F52" s="44"/>
      <c r="G52" s="305"/>
      <c r="H52" s="306"/>
      <c r="I52" s="306"/>
      <c r="J52" s="307"/>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 xml:space="preserve">Tungsten  </v>
      </c>
      <c r="C53" s="9"/>
      <c r="D53" s="297"/>
      <c r="E53" s="298"/>
      <c r="F53" s="44"/>
      <c r="G53" s="305"/>
      <c r="H53" s="306"/>
      <c r="I53" s="306"/>
      <c r="J53" s="307"/>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2" t="str">
        <f ca="1">D25</f>
        <v>Answer</v>
      </c>
      <c r="E55" s="30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 xml:space="preserve">Tantalum  </v>
      </c>
      <c r="C56" s="32"/>
      <c r="D56" s="339"/>
      <c r="E56" s="340"/>
      <c r="F56" s="44"/>
      <c r="G56" s="305"/>
      <c r="H56" s="306"/>
      <c r="I56" s="306"/>
      <c r="J56" s="307"/>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Tin  (*)</v>
      </c>
      <c r="C57" s="32"/>
      <c r="D57" s="339" t="s">
        <v>15884</v>
      </c>
      <c r="E57" s="340"/>
      <c r="F57" s="44"/>
      <c r="G57" s="305"/>
      <c r="H57" s="306"/>
      <c r="I57" s="306"/>
      <c r="J57" s="307"/>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 xml:space="preserve">Gold  </v>
      </c>
      <c r="C58" s="32"/>
      <c r="D58" s="339"/>
      <c r="E58" s="340"/>
      <c r="F58" s="44"/>
      <c r="G58" s="305"/>
      <c r="H58" s="306"/>
      <c r="I58" s="306"/>
      <c r="J58" s="307"/>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 xml:space="preserve">Tungsten  </v>
      </c>
      <c r="C59" s="32"/>
      <c r="D59" s="339"/>
      <c r="E59" s="340"/>
      <c r="F59" s="44"/>
      <c r="G59" s="305"/>
      <c r="H59" s="306"/>
      <c r="I59" s="306"/>
      <c r="J59" s="307"/>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2" t="str">
        <f ca="1">D25</f>
        <v>Answer</v>
      </c>
      <c r="E61" s="302"/>
      <c r="F61" s="17"/>
      <c r="G61" s="41" t="str">
        <f ca="1">G25</f>
        <v>Comments</v>
      </c>
      <c r="H61" s="344"/>
      <c r="I61" s="344"/>
      <c r="J61" s="344"/>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 xml:space="preserve">Tantalum  </v>
      </c>
      <c r="C62" s="9"/>
      <c r="D62" s="303"/>
      <c r="E62" s="304"/>
      <c r="F62" s="44"/>
      <c r="G62" s="305"/>
      <c r="H62" s="306"/>
      <c r="I62" s="306"/>
      <c r="J62" s="307"/>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Tin  (*)</v>
      </c>
      <c r="C63" s="9"/>
      <c r="D63" s="297" t="s">
        <v>473</v>
      </c>
      <c r="E63" s="298"/>
      <c r="F63" s="44"/>
      <c r="G63" s="305"/>
      <c r="H63" s="306"/>
      <c r="I63" s="306"/>
      <c r="J63" s="307"/>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 xml:space="preserve">Gold  </v>
      </c>
      <c r="C64" s="9"/>
      <c r="D64" s="297"/>
      <c r="E64" s="298"/>
      <c r="F64" s="44"/>
      <c r="G64" s="305"/>
      <c r="H64" s="306"/>
      <c r="I64" s="306"/>
      <c r="J64" s="307"/>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 xml:space="preserve">Tungsten  </v>
      </c>
      <c r="C65" s="9"/>
      <c r="D65" s="297"/>
      <c r="E65" s="298"/>
      <c r="F65" s="44"/>
      <c r="G65" s="305"/>
      <c r="H65" s="306"/>
      <c r="I65" s="306"/>
      <c r="J65" s="307"/>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2" t="str">
        <f ca="1">D25</f>
        <v>Answer</v>
      </c>
      <c r="E67" s="302"/>
      <c r="F67" s="17"/>
      <c r="G67" s="41" t="str">
        <f ca="1">G25</f>
        <v>Comments</v>
      </c>
      <c r="H67" s="344" t="str">
        <f>IF(Q75="(*)","Click here to enter smelter names","")</f>
        <v/>
      </c>
      <c r="I67" s="344"/>
      <c r="J67" s="344"/>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 xml:space="preserve">Tantalum  </v>
      </c>
      <c r="C68" s="32"/>
      <c r="D68" s="297"/>
      <c r="E68" s="298"/>
      <c r="F68" s="45"/>
      <c r="G68" s="305"/>
      <c r="H68" s="306"/>
      <c r="I68" s="306"/>
      <c r="J68" s="307"/>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Tin  (*)</v>
      </c>
      <c r="C69" s="32"/>
      <c r="D69" s="297" t="s">
        <v>473</v>
      </c>
      <c r="E69" s="298"/>
      <c r="F69" s="45"/>
      <c r="G69" s="305"/>
      <c r="H69" s="306"/>
      <c r="I69" s="306"/>
      <c r="J69" s="307"/>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 xml:space="preserve">Gold  </v>
      </c>
      <c r="C70" s="32"/>
      <c r="D70" s="297"/>
      <c r="E70" s="298"/>
      <c r="F70" s="45"/>
      <c r="G70" s="305"/>
      <c r="H70" s="306"/>
      <c r="I70" s="306"/>
      <c r="J70" s="307"/>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 xml:space="preserve">Tungsten  </v>
      </c>
      <c r="C71" s="46"/>
      <c r="D71" s="297"/>
      <c r="E71" s="298"/>
      <c r="F71" s="47"/>
      <c r="G71" s="305"/>
      <c r="H71" s="306"/>
      <c r="I71" s="306"/>
      <c r="J71" s="307"/>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57" t="str">
        <f ca="1">OFFSET(L!$C$1,MATCH("Declaration"&amp;ADDRESS(ROW(),COLUMN(),4),L!$A:$A,0)-1,SL,,)</f>
        <v>Answer the Following Questions at a Company Level</v>
      </c>
      <c r="C73" s="357"/>
      <c r="D73" s="357"/>
      <c r="E73" s="357"/>
      <c r="F73" s="357"/>
      <c r="G73" s="357"/>
      <c r="H73" s="357"/>
      <c r="I73" s="357"/>
      <c r="J73" s="357"/>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Question</v>
      </c>
      <c r="C74" s="78"/>
      <c r="D74" s="308" t="str">
        <f ca="1">D25</f>
        <v>Answer</v>
      </c>
      <c r="E74" s="308"/>
      <c r="F74" s="50"/>
      <c r="G74" s="308" t="str">
        <f ca="1">G25</f>
        <v>Comments</v>
      </c>
      <c r="H74" s="308" t="e">
        <f>HLOOKUP(SL,LT,$O74,0)</f>
        <v>#NAME?</v>
      </c>
      <c r="I74" s="30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Have you established a responsible minerals sourcing policy? (*)</v>
      </c>
      <c r="C75" s="54"/>
      <c r="D75" s="297" t="s">
        <v>473</v>
      </c>
      <c r="E75" s="298"/>
      <c r="F75" s="54"/>
      <c r="G75" s="305"/>
      <c r="H75" s="306"/>
      <c r="I75" s="306"/>
      <c r="J75" s="307"/>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52"/>
      <c r="H76" s="352"/>
      <c r="I76" s="352"/>
      <c r="J76" s="35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09" t="s">
        <v>15882</v>
      </c>
      <c r="H77" s="310"/>
      <c r="I77" s="310"/>
      <c r="J77" s="311"/>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305"/>
      <c r="H79" s="306"/>
      <c r="I79" s="306"/>
      <c r="J79" s="307"/>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305"/>
      <c r="H81" s="306"/>
      <c r="I81" s="306"/>
      <c r="J81" s="307"/>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305"/>
      <c r="H83" s="306"/>
      <c r="I83" s="306"/>
      <c r="J83" s="307"/>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50" t="s">
        <v>473</v>
      </c>
      <c r="E85" s="351"/>
      <c r="F85" s="54"/>
      <c r="G85" s="305"/>
      <c r="H85" s="306"/>
      <c r="I85" s="306"/>
      <c r="J85" s="307"/>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52"/>
      <c r="H86" s="352"/>
      <c r="I86" s="352"/>
      <c r="J86" s="35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473</v>
      </c>
      <c r="E87" s="298"/>
      <c r="F87" s="54"/>
      <c r="G87" s="305" t="s">
        <v>15880</v>
      </c>
      <c r="H87" s="306"/>
      <c r="I87" s="306"/>
      <c r="J87" s="307"/>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53"/>
      <c r="H88" s="353"/>
      <c r="I88" s="353"/>
      <c r="J88" s="353"/>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 Is your company required to file an annual conflict minerals disclosure? (*)</v>
      </c>
      <c r="C89" s="54"/>
      <c r="D89" s="297" t="s">
        <v>474</v>
      </c>
      <c r="E89" s="298"/>
      <c r="F89" s="54"/>
      <c r="G89" s="305" t="s">
        <v>15881</v>
      </c>
      <c r="H89" s="306"/>
      <c r="I89" s="306"/>
      <c r="J89" s="307"/>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49" t="str">
        <f>IF(OR($D$8="",$I$3=""),"","Click here to check required fields completion")</f>
        <v/>
      </c>
      <c r="C90" s="349"/>
      <c r="D90" s="349"/>
      <c r="E90" s="349"/>
      <c r="F90" s="349"/>
      <c r="G90" s="349"/>
      <c r="H90" s="349"/>
      <c r="I90" s="349"/>
      <c r="J90" s="349"/>
      <c r="K90" s="33"/>
      <c r="L90" s="97"/>
      <c r="P90" s="2"/>
      <c r="Q90" s="2"/>
      <c r="R90" s="2"/>
      <c r="S90" s="2"/>
      <c r="T90" s="2"/>
      <c r="U90" s="2"/>
      <c r="V90" s="2"/>
      <c r="W90" s="2"/>
      <c r="X90" s="2"/>
      <c r="Y90" s="2"/>
      <c r="Z90" s="2"/>
      <c r="AA90" s="2"/>
      <c r="AB90" s="2"/>
      <c r="AC90" s="2"/>
      <c r="AD90" s="2"/>
      <c r="AE90" s="2"/>
      <c r="AF90" s="2"/>
      <c r="AG90" s="2"/>
      <c r="AH90" s="2"/>
    </row>
    <row r="91" spans="1:34" ht="16.8" thickBot="1">
      <c r="A91" s="347" t="str">
        <f ca="1">OFFSET(L!$C$1,MATCH("General"&amp;"Cpy",L!$A:$A,0)-1,SL,,)</f>
        <v>© 2026 Responsible Minerals Initiative. All rights reserved.</v>
      </c>
      <c r="B91" s="348"/>
      <c r="C91" s="348"/>
      <c r="D91" s="348"/>
      <c r="E91" s="348"/>
      <c r="F91" s="348"/>
      <c r="G91" s="348"/>
      <c r="H91" s="348"/>
      <c r="I91" s="348"/>
      <c r="J91" s="348"/>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Yes</v>
      </c>
    </row>
    <row r="99" spans="2:7" ht="15" hidden="1">
      <c r="B99" s="172">
        <v>1</v>
      </c>
      <c r="D99" s="264" t="str">
        <f>IF(AND(OR($D$27="Yes",$D$27=""),OR($D$33="Yes",$D$33="")),"Yes","")</f>
        <v>Yes</v>
      </c>
      <c r="E99" s="264" t="str">
        <f>IF(AND(OR($D$26="Yes",$D$26=""),OR($D$32="Yes",$D$32="")),"Greater than 50%","")</f>
        <v/>
      </c>
      <c r="G99" s="264" t="str">
        <f>IF(OR($D$27="Yes",$D$27=""),"No","")</f>
        <v>No</v>
      </c>
    </row>
    <row r="100" spans="2:7" ht="15" hidden="1">
      <c r="B100" s="219" t="s">
        <v>2370</v>
      </c>
      <c r="D100" s="264" t="str">
        <f>IF(AND(OR($D$27="Yes",$D$27=""),OR($D$33="Yes",$D$33="")),"No","")</f>
        <v>No</v>
      </c>
      <c r="E100" s="264" t="str">
        <f>IF(AND(OR($D$26="Yes",$D$26=""),OR($D$32="Yes",$D$32="")),"50% or less","")</f>
        <v/>
      </c>
      <c r="G100" s="264" t="str">
        <f>IF(OR($D$28="Yes",$D$28=""),"Yes","")</f>
        <v/>
      </c>
    </row>
    <row r="101" spans="2:7" ht="15" hidden="1">
      <c r="B101" s="219" t="s">
        <v>2371</v>
      </c>
      <c r="D101" s="264" t="str">
        <f>IF(AND(OR($D$27="Yes",$D$27=""),OR($D$33="Yes",$D$33="")),"Unknown","")</f>
        <v>Unknown</v>
      </c>
      <c r="E101" s="264" t="str">
        <f>IF(AND(OR($D$26="Yes",$D$26=""),OR($D$32="Yes",$D$32="")),"None","")</f>
        <v/>
      </c>
      <c r="G101" s="264" t="str">
        <f>IF(OR($D$28="Yes",$D$28=""),"No","")</f>
        <v/>
      </c>
    </row>
    <row r="102" spans="2:7" ht="15" hidden="1">
      <c r="B102" s="219" t="s">
        <v>2372</v>
      </c>
      <c r="D102" s="264" t="str">
        <f>IF(AND(OR($D$28="Yes",$D$28=""),OR($D$34="Yes",$D$34="")),"Yes","")</f>
        <v/>
      </c>
      <c r="E102" s="264" t="str">
        <f>IF(AND(OR($D$27="Yes",$D$27=""),OR($D$33="Yes",$D$33="")),"100%","")</f>
        <v>100%</v>
      </c>
      <c r="G102" s="264" t="str">
        <f>IF(OR($D$29="Yes",$D$29=""),"Yes","")</f>
        <v/>
      </c>
    </row>
    <row r="103" spans="2:7" ht="15" hidden="1">
      <c r="B103" s="219" t="s">
        <v>2373</v>
      </c>
      <c r="D103" s="264" t="str">
        <f>IF(AND(OR($D$28="Yes",$D$28=""),OR($D$34="Yes",$D$34="")),"No","")</f>
        <v/>
      </c>
      <c r="E103" s="264" t="str">
        <f>IF(AND(OR($D$27="Yes",$D$27=""),OR($D$33="Yes",$D$33="")),"Greater than 90%","")</f>
        <v>Greater than 90%</v>
      </c>
      <c r="G103" s="264" t="str">
        <f>IF(OR($D$29="Yes",$D$29=""),"No","")</f>
        <v/>
      </c>
    </row>
    <row r="104" spans="2:7" ht="15" hidden="1">
      <c r="B104" s="219" t="s">
        <v>476</v>
      </c>
      <c r="D104" s="264" t="str">
        <f>IF(AND(OR($D$28="Yes",$D$28=""),OR($D$34="Yes",$D$34="")),"Unknown","")</f>
        <v/>
      </c>
      <c r="E104" s="264" t="str">
        <f>IF(AND(OR($D$27="Yes",$D$27=""),OR($D$33="Yes",$D$33="")),"Greater than 75%","")</f>
        <v>Greater than 75%</v>
      </c>
    </row>
    <row r="105" spans="2:7" ht="15" hidden="1">
      <c r="B105" s="219" t="s">
        <v>14427</v>
      </c>
      <c r="D105" s="264" t="str">
        <f>IF(AND(OR($D$29="Yes",$D$29=""),OR($D$35="Yes",$D$35="")),"Yes","")</f>
        <v/>
      </c>
      <c r="E105" s="264" t="str">
        <f>IF(AND(OR($D$27="Yes",$D$27=""),OR($D$33="Yes",$D$33="")),"Greater than 50%","")</f>
        <v>Greater than 50%</v>
      </c>
    </row>
    <row r="106" spans="2:7" ht="15" hidden="1">
      <c r="B106" s="219" t="s">
        <v>11949</v>
      </c>
      <c r="D106" s="264" t="str">
        <f>IF(AND(OR($D$29="Yes",$D$29=""),OR($D$35="Yes",$D$35="")),"No","")</f>
        <v/>
      </c>
      <c r="E106" s="264" t="str">
        <f>IF(AND(OR($D$27="Yes",$D$27=""),OR($D$33="Yes",$D$33="")),"50% or less","")</f>
        <v>50% or less</v>
      </c>
    </row>
    <row r="107" spans="2:7" ht="15" hidden="1">
      <c r="B107" s="219" t="s">
        <v>474</v>
      </c>
      <c r="D107" s="264" t="str">
        <f>IF(AND(OR($D$29="Yes",$D$29=""),OR($D$35="Yes",$D$35="")),"Unknown","")</f>
        <v/>
      </c>
      <c r="E107" s="264" t="str">
        <f>IF(AND(OR($D$27="Yes",$D$27=""),OR($D$33="Yes",$D$33="")),"None","")</f>
        <v>None</v>
      </c>
    </row>
    <row r="108" spans="2:7" ht="15" hidden="1">
      <c r="B108" s="219" t="s">
        <v>13454</v>
      </c>
      <c r="E108" s="264" t="str">
        <f>IF(AND(OR($D$28="Yes",$D$28=""),OR($D$34="Yes",$D$34="")),"100%","")</f>
        <v/>
      </c>
    </row>
    <row r="109" spans="2:7" ht="15" hidden="1">
      <c r="B109" s="219" t="s">
        <v>13456</v>
      </c>
      <c r="E109" s="264" t="str">
        <f>IF(AND(OR($D$28="Yes",$D$28=""),OR($D$34="Yes",$D$34="")),"Greater than 90%","")</f>
        <v/>
      </c>
    </row>
    <row r="110" spans="2:7" ht="15" hidden="1">
      <c r="B110" s="219" t="s">
        <v>13457</v>
      </c>
      <c r="E110" s="264" t="str">
        <f>IF(AND(OR($D$28="Yes",$D$28=""),OR($D$34="Yes",$D$34="")),"Greater than 75%","")</f>
        <v/>
      </c>
    </row>
    <row r="111" spans="2:7" ht="1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101"/>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DDA13805-5829-4D2F-B845-72CD1F768B57}"/>
    <hyperlink ref="D16" r:id="rId4" xr:uid="{C69B57E6-CB9F-4F9A-A201-CD6EC63D2B29}"/>
    <hyperlink ref="D17" r:id="rId5" xr:uid="{38413C3E-325C-4969-8A4A-0CFAF61DB971}"/>
    <hyperlink ref="D20" r:id="rId6" xr:uid="{1430D59A-81EB-4F22-AC41-522BF5B0E6C0}"/>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D9" sqref="D9"/>
    </sheetView>
  </sheetViews>
  <sheetFormatPr defaultColWidth="8.90625" defaultRowHeight="12.6"/>
  <cols>
    <col min="1" max="1" width="13.6328125" style="210" customWidth="1"/>
    <col min="2" max="2" width="13.36328125" style="212" customWidth="1"/>
    <col min="3" max="3" width="40.6328125" style="212" customWidth="1"/>
    <col min="4" max="4" width="30.6328125" style="212" customWidth="1"/>
    <col min="5" max="5" width="20.90625" style="212" customWidth="1"/>
    <col min="6" max="7" width="13.90625" style="212" customWidth="1"/>
    <col min="8" max="8" width="25.08984375" style="212" customWidth="1"/>
    <col min="9" max="9" width="24.08984375" style="212" customWidth="1"/>
    <col min="10" max="10" width="18.36328125" style="212" customWidth="1"/>
    <col min="11" max="11" width="27.36328125" style="212" customWidth="1"/>
    <col min="12" max="12" width="20.6328125" style="212" customWidth="1"/>
    <col min="13" max="13" width="35.08984375" style="212" customWidth="1"/>
    <col min="14" max="14" width="42.08984375" style="212" customWidth="1"/>
    <col min="15" max="15" width="32.08984375" style="212" customWidth="1"/>
    <col min="16" max="16" width="22.90625" style="212" customWidth="1"/>
    <col min="17" max="17" width="43.6328125" style="212" customWidth="1"/>
    <col min="18" max="18" width="35.90625" style="212" hidden="1" customWidth="1"/>
    <col min="19" max="20" width="17.90625" style="212" hidden="1" customWidth="1"/>
    <col min="21" max="21" width="8.90625" style="212" hidden="1" customWidth="1"/>
    <col min="22" max="22" width="6.08984375" style="212" hidden="1" customWidth="1"/>
    <col min="23" max="23" width="8.6328125" style="212" hidden="1" customWidth="1"/>
    <col min="24" max="24" width="8.90625" style="212" hidden="1" customWidth="1"/>
    <col min="25" max="27" width="4.36328125" style="212" hidden="1" customWidth="1"/>
    <col min="28" max="28" width="7.90625" style="212" hidden="1" customWidth="1"/>
    <col min="29" max="33" width="4.36328125" style="212" hidden="1" customWidth="1"/>
    <col min="34" max="34" width="14.6328125" style="212" hidden="1" customWidth="1"/>
    <col min="35" max="39" width="8.90625" style="212" customWidth="1"/>
    <col min="40" max="16384" width="8.90625" style="212"/>
  </cols>
  <sheetData>
    <row r="1" spans="1:34" s="204" customFormat="1" ht="16.2"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736</v>
      </c>
      <c r="B5" s="166" t="s">
        <v>1088</v>
      </c>
      <c r="C5" s="170" t="s">
        <v>803</v>
      </c>
      <c r="D5" s="213"/>
      <c r="E5" s="166" t="s">
        <v>2321</v>
      </c>
      <c r="F5" s="166" t="s">
        <v>736</v>
      </c>
      <c r="G5" s="166" t="s">
        <v>12764</v>
      </c>
      <c r="H5" s="167">
        <v>0</v>
      </c>
      <c r="I5" s="168" t="s">
        <v>13312</v>
      </c>
      <c r="J5" s="168" t="s">
        <v>1630</v>
      </c>
      <c r="K5" s="207" t="s">
        <v>15887</v>
      </c>
      <c r="L5" s="207" t="s">
        <v>15887</v>
      </c>
      <c r="M5" s="207" t="s">
        <v>15888</v>
      </c>
      <c r="N5" s="207" t="s">
        <v>15887</v>
      </c>
      <c r="O5" s="207" t="s">
        <v>15887</v>
      </c>
      <c r="P5" s="169" t="s">
        <v>474</v>
      </c>
      <c r="Q5" s="208"/>
      <c r="R5" s="166" t="str">
        <f ca="1">IF(ISERROR($V5),"",OFFSET('Smelter Look-up'!$C$4,$V5-4,0)&amp;"")</f>
        <v>EM Vinto</v>
      </c>
      <c r="S5" s="165" t="str">
        <f ca="1">IF(B5="","",IF(ISERROR(MATCH($E5,CL,0)),"Unknown",INDIRECT("'C'!$A$"&amp;MATCH($E5,CL,0)+1)))</f>
        <v>Unknown</v>
      </c>
      <c r="T5" s="165" t="e">
        <f ca="1">IF(B5="","",IF(ISERROR(MATCH($J5,SorP!$B$1:$B$6261,0)),"",INDIRECT("'SorP'!$A$"&amp;MATCH($S5&amp;$J5,SorP!C:C,0))))</f>
        <v>#N/A</v>
      </c>
      <c r="U5" s="185"/>
      <c r="V5" s="209">
        <f>IF(C5="",NA(),IF(OR(C5="Smelter not listed",C5="Smelter not yet identified"),MATCH($B5&amp;$D5,'Smelter Look-up'!$J:$J,0),MATCH($B5&amp;$C5,'Smelter Look-up'!$J:$J,0)))</f>
        <v>453</v>
      </c>
      <c r="X5" s="210">
        <f t="shared" ref="X5" si="0">IF(AND(C5="Smelter not listed",OR(LEN(D5)=0,LEN(E5)=0)),1,0)</f>
        <v>0</v>
      </c>
      <c r="AB5" s="211" t="str">
        <f t="shared" ref="AB5" si="1">B5&amp;C5</f>
        <v>TinEM Vinto</v>
      </c>
    </row>
    <row r="6" spans="1:34" s="210" customFormat="1" ht="20.100000000000001" customHeight="1">
      <c r="A6" s="245" t="s">
        <v>753</v>
      </c>
      <c r="B6" s="166" t="s">
        <v>1088</v>
      </c>
      <c r="C6" s="170" t="s">
        <v>989</v>
      </c>
      <c r="D6" s="213"/>
      <c r="E6" s="166" t="s">
        <v>848</v>
      </c>
      <c r="F6" s="166" t="s">
        <v>753</v>
      </c>
      <c r="G6" s="166" t="s">
        <v>12764</v>
      </c>
      <c r="H6" s="167">
        <v>0</v>
      </c>
      <c r="I6" s="168" t="s">
        <v>1710</v>
      </c>
      <c r="J6" s="168" t="s">
        <v>12398</v>
      </c>
      <c r="K6" s="207" t="s">
        <v>15887</v>
      </c>
      <c r="L6" s="207" t="s">
        <v>15887</v>
      </c>
      <c r="M6" s="207" t="s">
        <v>15888</v>
      </c>
      <c r="N6" s="207" t="s">
        <v>15887</v>
      </c>
      <c r="O6" s="207" t="s">
        <v>15887</v>
      </c>
      <c r="P6" s="169" t="s">
        <v>474</v>
      </c>
      <c r="Q6" s="208"/>
      <c r="R6" s="166" t="str">
        <f ca="1">IF(ISERROR($V6),"",OFFSET('Smelter Look-up'!$C$4,$V6-4,0)&amp;"")</f>
        <v>Thaisarco</v>
      </c>
      <c r="S6" s="165" t="str">
        <f t="shared" ref="S6:S37" ca="1" si="2">IF(B6="","",IF(ISERROR(MATCH($E6,CL,0)),"Unknown",INDIRECT("'C'!$A$"&amp;MATCH($E6,CL,0)+1)))</f>
        <v>TH</v>
      </c>
      <c r="T6" s="165" t="e">
        <f ca="1">IF(B6="","",IF(ISERROR(MATCH($J6,SorP!$B$1:$B$6261,0)),"",INDIRECT("'SorP'!$A$"&amp;MATCH($S6&amp;$J6,SorP!C:C,0))))</f>
        <v>#N/A</v>
      </c>
      <c r="U6" s="185"/>
      <c r="V6" s="209">
        <f>IF(C6="",NA(),IF(OR(C6="Smelter not listed",C6="Smelter not yet identified"),MATCH($B6&amp;$D6,'Smelter Look-up'!$J:$J,0),MATCH($B6&amp;$C6,'Smelter Look-up'!$J:$J,0)))</f>
        <v>543</v>
      </c>
      <c r="X6" s="210">
        <f t="shared" ref="X6:X37" si="3">IF(AND(C6="Smelter not listed",OR(LEN(D6)=0,LEN(E6)=0)),1,0)</f>
        <v>0</v>
      </c>
      <c r="AB6" s="211" t="str">
        <f t="shared" ref="AB6:AB37" si="4">B6&amp;C6</f>
        <v>TinThaisarco</v>
      </c>
    </row>
    <row r="7" spans="1:34" s="210" customFormat="1" ht="20.100000000000001" customHeight="1">
      <c r="A7" s="245" t="s">
        <v>750</v>
      </c>
      <c r="B7" s="166" t="s">
        <v>1088</v>
      </c>
      <c r="C7" s="170" t="s">
        <v>13288</v>
      </c>
      <c r="D7" s="213"/>
      <c r="E7" s="166" t="s">
        <v>1063</v>
      </c>
      <c r="F7" s="166" t="s">
        <v>750</v>
      </c>
      <c r="G7" s="166" t="s">
        <v>12764</v>
      </c>
      <c r="H7" s="167">
        <v>0</v>
      </c>
      <c r="I7" s="168" t="s">
        <v>15889</v>
      </c>
      <c r="J7" s="168" t="s">
        <v>8321</v>
      </c>
      <c r="K7" s="207" t="s">
        <v>15887</v>
      </c>
      <c r="L7" s="207" t="s">
        <v>15887</v>
      </c>
      <c r="M7" s="207" t="s">
        <v>15888</v>
      </c>
      <c r="N7" s="207" t="s">
        <v>15887</v>
      </c>
      <c r="O7" s="207" t="s">
        <v>15887</v>
      </c>
      <c r="P7" s="169" t="s">
        <v>474</v>
      </c>
      <c r="Q7" s="208"/>
      <c r="R7" s="166" t="str">
        <f ca="1">IF(ISERROR($V7),"",OFFSET('Smelter Look-up'!$C$4,$V7-4,0)&amp;"")</f>
        <v>PT Timah Tbk Mentok</v>
      </c>
      <c r="S7" s="165" t="str">
        <f t="shared" ca="1" si="2"/>
        <v>ID</v>
      </c>
      <c r="T7" s="165" t="e">
        <f ca="1">IF(B7="","",IF(ISERROR(MATCH($J7,SorP!$B$1:$B$6261,0)),"",INDIRECT("'SorP'!$A$"&amp;MATCH($S7&amp;$J7,SorP!C:C,0))))</f>
        <v>#N/A</v>
      </c>
      <c r="U7" s="185"/>
      <c r="V7" s="209">
        <f>IF(C7="",NA(),IF(OR(C7="Smelter not listed",C7="Smelter not yet identified"),MATCH($B7&amp;$D7,'Smelter Look-up'!$J:$J,0),MATCH($B7&amp;$C7,'Smelter Look-up'!$J:$J,0)))</f>
        <v>532</v>
      </c>
      <c r="X7" s="210">
        <f t="shared" si="3"/>
        <v>0</v>
      </c>
      <c r="AB7" s="211" t="str">
        <f t="shared" si="4"/>
        <v>TinPT Timah Tbk Mentok</v>
      </c>
    </row>
    <row r="8" spans="1:34" s="210" customFormat="1" ht="20.100000000000001" customHeight="1">
      <c r="A8" s="245" t="s">
        <v>748</v>
      </c>
      <c r="B8" s="166" t="s">
        <v>1088</v>
      </c>
      <c r="C8" s="170" t="s">
        <v>13290</v>
      </c>
      <c r="D8" s="213"/>
      <c r="E8" s="166" t="s">
        <v>2321</v>
      </c>
      <c r="F8" s="166" t="s">
        <v>748</v>
      </c>
      <c r="G8" s="166" t="s">
        <v>12764</v>
      </c>
      <c r="H8" s="167">
        <v>0</v>
      </c>
      <c r="I8" s="168" t="s">
        <v>1711</v>
      </c>
      <c r="J8" s="168" t="s">
        <v>1712</v>
      </c>
      <c r="K8" s="207" t="s">
        <v>15887</v>
      </c>
      <c r="L8" s="207" t="s">
        <v>15887</v>
      </c>
      <c r="M8" s="207" t="s">
        <v>15888</v>
      </c>
      <c r="N8" s="207" t="s">
        <v>15887</v>
      </c>
      <c r="O8" s="207" t="s">
        <v>15887</v>
      </c>
      <c r="P8" s="169" t="s">
        <v>474</v>
      </c>
      <c r="Q8" s="208"/>
      <c r="R8" s="166" t="str">
        <f ca="1">IF(ISERROR($V8),"",OFFSET('Smelter Look-up'!$C$4,$V8-4,0)&amp;"")</f>
        <v>Operaciones Metalurgicas S.A.</v>
      </c>
      <c r="S8" s="165" t="str">
        <f t="shared" ca="1" si="2"/>
        <v>Unknown</v>
      </c>
      <c r="T8" s="165" t="e">
        <f ca="1">IF(B8="","",IF(ISERROR(MATCH($J8,SorP!$B$1:$B$6261,0)),"",INDIRECT("'SorP'!$A$"&amp;MATCH($S8&amp;$J8,SorP!C:C,0))))</f>
        <v>#N/A</v>
      </c>
      <c r="U8" s="185"/>
      <c r="V8" s="209">
        <f>IF(C8="",NA(),IF(OR(C8="Smelter not listed",C8="Smelter not yet identified"),MATCH($B8&amp;$D8,'Smelter Look-up'!$J:$J,0),MATCH($B8&amp;$C8,'Smelter Look-up'!$J:$J,0)))</f>
        <v>514</v>
      </c>
      <c r="X8" s="210">
        <f t="shared" si="3"/>
        <v>0</v>
      </c>
      <c r="AB8" s="211" t="str">
        <f t="shared" si="4"/>
        <v>TinOperaciones Metalurgicas S.A.</v>
      </c>
    </row>
    <row r="9" spans="1:34" s="210" customFormat="1" ht="20.100000000000001" customHeight="1">
      <c r="A9" s="245" t="s">
        <v>15885</v>
      </c>
      <c r="B9" s="166" t="s">
        <v>1088</v>
      </c>
      <c r="C9" s="170" t="s">
        <v>15886</v>
      </c>
      <c r="D9" s="213"/>
      <c r="E9" s="166" t="s">
        <v>1073</v>
      </c>
      <c r="F9" s="166" t="s">
        <v>15885</v>
      </c>
      <c r="G9" s="166"/>
      <c r="H9" s="167"/>
      <c r="I9" s="168"/>
      <c r="J9" s="168"/>
      <c r="K9" s="207" t="s">
        <v>15887</v>
      </c>
      <c r="L9" s="207" t="s">
        <v>15887</v>
      </c>
      <c r="M9" s="207" t="s">
        <v>15888</v>
      </c>
      <c r="N9" s="207" t="s">
        <v>15887</v>
      </c>
      <c r="O9" s="207" t="s">
        <v>15887</v>
      </c>
      <c r="P9" s="169" t="s">
        <v>474</v>
      </c>
      <c r="Q9" s="208"/>
      <c r="R9" s="166" t="str">
        <f ca="1">IF(ISERROR($V9),"",OFFSET('Smelter Look-up'!$C$4,$V9-4,0)&amp;"")</f>
        <v/>
      </c>
      <c r="S9" s="165" t="str">
        <f t="shared" ca="1" si="2"/>
        <v>MY</v>
      </c>
      <c r="T9" s="165" t="str">
        <f ca="1">IF(B9="","",IF(ISERROR(MATCH($J9,SorP!$B$1:$B$6261,0)),"",INDIRECT("'SorP'!$A$"&amp;MATCH($S9&amp;$J9,SorP!C:C,0))))</f>
        <v/>
      </c>
      <c r="U9" s="185"/>
      <c r="V9" s="209" t="e">
        <f>IF(C9="",NA(),IF(OR(C9="Smelter not listed",C9="Smelter not yet identified"),MATCH($B9&amp;$D9,'Smelter Look-up'!$J:$J,0),MATCH($B9&amp;$C9,'Smelter Look-up'!$J:$J,0)))</f>
        <v>#N/A</v>
      </c>
      <c r="X9" s="210">
        <f t="shared" si="3"/>
        <v>0</v>
      </c>
      <c r="AB9" s="211" t="str">
        <f t="shared" si="4"/>
        <v>TinMalaysia Smelting Corporation (MSC)</v>
      </c>
    </row>
    <row r="10" spans="1:34" s="210" customFormat="1" ht="20.100000000000001" customHeight="1">
      <c r="A10" s="245" t="s">
        <v>744</v>
      </c>
      <c r="B10" s="166" t="s">
        <v>1088</v>
      </c>
      <c r="C10" s="170" t="s">
        <v>992</v>
      </c>
      <c r="D10" s="213"/>
      <c r="E10" s="166" t="s">
        <v>840</v>
      </c>
      <c r="F10" s="166" t="s">
        <v>744</v>
      </c>
      <c r="G10" s="166" t="s">
        <v>12764</v>
      </c>
      <c r="H10" s="167">
        <v>0</v>
      </c>
      <c r="I10" s="168" t="s">
        <v>1526</v>
      </c>
      <c r="J10" s="168" t="s">
        <v>1527</v>
      </c>
      <c r="K10" s="207" t="s">
        <v>15887</v>
      </c>
      <c r="L10" s="207" t="s">
        <v>15887</v>
      </c>
      <c r="M10" s="207" t="s">
        <v>15888</v>
      </c>
      <c r="N10" s="207" t="s">
        <v>15887</v>
      </c>
      <c r="O10" s="207" t="s">
        <v>15887</v>
      </c>
      <c r="P10" s="169" t="s">
        <v>474</v>
      </c>
      <c r="Q10" s="208"/>
      <c r="R10" s="166" t="str">
        <f ca="1">IF(ISERROR($V10),"",OFFSET('Smelter Look-up'!$C$4,$V10-4,0)&amp;"")</f>
        <v>Minsur</v>
      </c>
      <c r="S10" s="165" t="str">
        <f t="shared" ca="1" si="2"/>
        <v>PE</v>
      </c>
      <c r="T10" s="165" t="e">
        <f ca="1">IF(B10="","",IF(ISERROR(MATCH($J10,SorP!$B$1:$B$6261,0)),"",INDIRECT("'SorP'!$A$"&amp;MATCH($S10&amp;$J10,SorP!C:C,0))))</f>
        <v>#N/A</v>
      </c>
      <c r="U10" s="185"/>
      <c r="V10" s="209">
        <f>IF(C10="",NA(),IF(OR(C10="Smelter not listed",C10="Smelter not yet identified"),MATCH($B10&amp;$D10,'Smelter Look-up'!$J:$J,0),MATCH($B10&amp;$C10,'Smelter Look-up'!$J:$J,0)))</f>
        <v>503</v>
      </c>
      <c r="X10" s="210">
        <f t="shared" si="3"/>
        <v>0</v>
      </c>
      <c r="AB10" s="211" t="str">
        <f t="shared" si="4"/>
        <v>TinMinsur</v>
      </c>
    </row>
    <row r="11" spans="1:34" s="210" customFormat="1" ht="20.100000000000001" customHeight="1">
      <c r="A11" s="245" t="s">
        <v>767</v>
      </c>
      <c r="B11" s="166" t="s">
        <v>1088</v>
      </c>
      <c r="C11" s="170" t="s">
        <v>13289</v>
      </c>
      <c r="D11" s="213"/>
      <c r="E11" s="166" t="s">
        <v>1063</v>
      </c>
      <c r="F11" s="166" t="s">
        <v>767</v>
      </c>
      <c r="G11" s="166" t="s">
        <v>12764</v>
      </c>
      <c r="H11" s="167">
        <v>0</v>
      </c>
      <c r="I11" s="168" t="s">
        <v>1708</v>
      </c>
      <c r="J11" s="168" t="s">
        <v>5897</v>
      </c>
      <c r="K11" s="207" t="s">
        <v>15887</v>
      </c>
      <c r="L11" s="207" t="s">
        <v>15887</v>
      </c>
      <c r="M11" s="207" t="s">
        <v>15888</v>
      </c>
      <c r="N11" s="207" t="s">
        <v>15887</v>
      </c>
      <c r="O11" s="207" t="s">
        <v>15887</v>
      </c>
      <c r="P11" s="169" t="s">
        <v>474</v>
      </c>
      <c r="Q11" s="208"/>
      <c r="R11" s="166" t="str">
        <f ca="1">IF(ISERROR($V11),"",OFFSET('Smelter Look-up'!$C$4,$V11-4,0)&amp;"")</f>
        <v>PT Timah Tbk Kundur</v>
      </c>
      <c r="S11" s="165" t="str">
        <f t="shared" ca="1" si="2"/>
        <v>ID</v>
      </c>
      <c r="T11" s="165" t="str">
        <f ca="1">IF(B11="","",IF(ISERROR(MATCH($J11,SorP!$B$1:$B$6261,0)),"",INDIRECT("'SorP'!$A$"&amp;MATCH($S11&amp;$J11,SorP!C:C,0))))</f>
        <v>ID-RI</v>
      </c>
      <c r="U11" s="185"/>
      <c r="V11" s="209">
        <f>IF(C11="",NA(),IF(OR(C11="Smelter not listed",C11="Smelter not yet identified"),MATCH($B11&amp;$D11,'Smelter Look-up'!$J:$J,0),MATCH($B11&amp;$C11,'Smelter Look-up'!$J:$J,0)))</f>
        <v>531</v>
      </c>
      <c r="X11" s="210">
        <f t="shared" si="3"/>
        <v>0</v>
      </c>
      <c r="AB11" s="211" t="str">
        <f t="shared" si="4"/>
        <v>TinPT Timah Tbk Kundur</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399999999999999">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399999999999999">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399999999999999">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399999999999999">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399999999999999">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399999999999999">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399999999999999">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399999999999999">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399999999999999">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399999999999999">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399999999999999">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399999999999999">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399999999999999">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399999999999999">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399999999999999">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399999999999999">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399999999999999">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399999999999999">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399999999999999">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399999999999999">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399999999999999">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399999999999999">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399999999999999">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399999999999999">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399999999999999">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399999999999999">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399999999999999">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399999999999999">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399999999999999">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399999999999999">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399999999999999">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399999999999999">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399999999999999">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399999999999999">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399999999999999">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399999999999999">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399999999999999">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399999999999999">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399999999999999">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399999999999999">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399999999999999">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399999999999999">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399999999999999">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399999999999999">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399999999999999">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399999999999999">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399999999999999">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399999999999999">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399999999999999">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399999999999999">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399999999999999">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399999999999999">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399999999999999">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399999999999999">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399999999999999">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399999999999999">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399999999999999">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399999999999999">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399999999999999">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399999999999999">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399999999999999">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399999999999999">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399999999999999">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399999999999999">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399999999999999">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399999999999999">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399999999999999">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399999999999999">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399999999999999">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399999999999999">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399999999999999">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399999999999999">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399999999999999">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399999999999999">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399999999999999">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399999999999999">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399999999999999">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399999999999999">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399999999999999">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399999999999999">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399999999999999">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399999999999999">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399999999999999">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399999999999999">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399999999999999">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399999999999999">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399999999999999">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399999999999999">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399999999999999">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399999999999999">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399999999999999">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399999999999999">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399999999999999">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399999999999999">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399999999999999">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399999999999999">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399999999999999">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399999999999999">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399999999999999">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399999999999999">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399999999999999">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399999999999999">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399999999999999">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399999999999999">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399999999999999">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399999999999999">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399999999999999">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399999999999999">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399999999999999">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399999999999999">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399999999999999">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399999999999999">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399999999999999">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399999999999999">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399999999999999">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399999999999999">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399999999999999">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399999999999999">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399999999999999">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399999999999999">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399999999999999">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399999999999999">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399999999999999">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399999999999999">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399999999999999">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399999999999999">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399999999999999">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399999999999999">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399999999999999">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399999999999999">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399999999999999">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399999999999999">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399999999999999">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399999999999999">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399999999999999">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399999999999999">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399999999999999">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399999999999999">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399999999999999">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399999999999999">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399999999999999">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399999999999999">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399999999999999">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399999999999999">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399999999999999">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399999999999999">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399999999999999">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399999999999999">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399999999999999">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399999999999999">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399999999999999">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399999999999999">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399999999999999">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399999999999999">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399999999999999">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399999999999999">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399999999999999">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399999999999999">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399999999999999">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399999999999999">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399999999999999">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399999999999999">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399999999999999">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399999999999999">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399999999999999">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399999999999999">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399999999999999">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399999999999999">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399999999999999">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399999999999999">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399999999999999">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399999999999999">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399999999999999">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399999999999999">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399999999999999">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399999999999999">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399999999999999">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399999999999999">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399999999999999">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399999999999999">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399999999999999">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399999999999999">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399999999999999">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399999999999999">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399999999999999">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399999999999999">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399999999999999">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399999999999999">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399999999999999">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399999999999999">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399999999999999">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399999999999999">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399999999999999">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399999999999999">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399999999999999">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399999999999999">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399999999999999">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399999999999999">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399999999999999">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399999999999999">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399999999999999">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399999999999999">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399999999999999">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399999999999999">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399999999999999">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399999999999999">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399999999999999">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399999999999999">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399999999999999">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399999999999999">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399999999999999">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399999999999999">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399999999999999">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399999999999999">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399999999999999">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399999999999999">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399999999999999">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399999999999999">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399999999999999">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399999999999999">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399999999999999">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399999999999999">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399999999999999">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399999999999999">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399999999999999">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399999999999999">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399999999999999">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399999999999999">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399999999999999">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399999999999999">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399999999999999">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399999999999999">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399999999999999">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399999999999999">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399999999999999">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399999999999999">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399999999999999">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399999999999999">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399999999999999">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399999999999999">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399999999999999">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399999999999999">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399999999999999">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399999999999999">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399999999999999">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399999999999999">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399999999999999">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399999999999999">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399999999999999">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399999999999999">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399999999999999">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399999999999999">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399999999999999">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399999999999999">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399999999999999">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399999999999999">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399999999999999">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399999999999999">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399999999999999">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399999999999999">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399999999999999">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399999999999999">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399999999999999">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399999999999999">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399999999999999">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399999999999999">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399999999999999">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399999999999999">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399999999999999">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399999999999999">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399999999999999">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399999999999999">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399999999999999">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399999999999999">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399999999999999">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399999999999999">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399999999999999">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399999999999999">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399999999999999">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399999999999999">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399999999999999">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399999999999999">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399999999999999">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399999999999999">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399999999999999">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399999999999999">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399999999999999">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399999999999999">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399999999999999">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399999999999999">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399999999999999">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399999999999999">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399999999999999">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399999999999999">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399999999999999">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399999999999999">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399999999999999">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399999999999999">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399999999999999">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399999999999999">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399999999999999">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399999999999999">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399999999999999">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399999999999999">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399999999999999">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399999999999999">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399999999999999">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399999999999999">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399999999999999">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399999999999999">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399999999999999">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399999999999999">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399999999999999">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399999999999999">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399999999999999">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399999999999999">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399999999999999">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399999999999999">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399999999999999">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399999999999999">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399999999999999">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399999999999999">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399999999999999">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399999999999999">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399999999999999">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399999999999999">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399999999999999">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399999999999999">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399999999999999">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399999999999999">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399999999999999">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399999999999999">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399999999999999">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399999999999999">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399999999999999">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399999999999999">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399999999999999">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399999999999999">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399999999999999">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399999999999999">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399999999999999">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399999999999999">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399999999999999">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399999999999999">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399999999999999">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399999999999999">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399999999999999">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399999999999999">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399999999999999">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399999999999999">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399999999999999">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399999999999999">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399999999999999">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399999999999999">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399999999999999">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399999999999999">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399999999999999">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399999999999999">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399999999999999">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399999999999999">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399999999999999">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399999999999999">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399999999999999">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399999999999999">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399999999999999">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399999999999999">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399999999999999">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399999999999999">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399999999999999">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399999999999999">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399999999999999">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399999999999999">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399999999999999">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399999999999999">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399999999999999">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399999999999999">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399999999999999">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399999999999999">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399999999999999">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399999999999999">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399999999999999">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399999999999999">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399999999999999">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399999999999999">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399999999999999">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399999999999999">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399999999999999">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399999999999999">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399999999999999">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399999999999999">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399999999999999">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399999999999999">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399999999999999">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399999999999999">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399999999999999">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399999999999999">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399999999999999">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399999999999999">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399999999999999">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399999999999999">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399999999999999">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399999999999999">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399999999999999">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399999999999999">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399999999999999">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399999999999999">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399999999999999">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399999999999999">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399999999999999">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399999999999999">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399999999999999">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399999999999999">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399999999999999">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399999999999999">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399999999999999">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399999999999999">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399999999999999">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399999999999999">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399999999999999">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399999999999999">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399999999999999">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399999999999999">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399999999999999">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399999999999999">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399999999999999">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399999999999999">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399999999999999">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399999999999999">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399999999999999">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399999999999999">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399999999999999">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399999999999999">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399999999999999">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399999999999999">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399999999999999">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399999999999999">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399999999999999">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399999999999999">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399999999999999">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399999999999999">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399999999999999">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399999999999999">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399999999999999">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399999999999999">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399999999999999">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399999999999999">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399999999999999">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399999999999999">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399999999999999">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399999999999999">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399999999999999">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399999999999999">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399999999999999">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399999999999999">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399999999999999">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399999999999999">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399999999999999">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399999999999999">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399999999999999">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399999999999999">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399999999999999">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399999999999999">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399999999999999">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399999999999999">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399999999999999">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399999999999999">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399999999999999">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399999999999999">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399999999999999">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399999999999999">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399999999999999">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399999999999999">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399999999999999">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399999999999999">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399999999999999">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399999999999999">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399999999999999">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399999999999999">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399999999999999">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399999999999999">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399999999999999">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399999999999999">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399999999999999">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399999999999999">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399999999999999">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399999999999999">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399999999999999">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399999999999999">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399999999999999">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399999999999999">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399999999999999">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399999999999999">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399999999999999">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399999999999999">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399999999999999">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399999999999999">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399999999999999">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399999999999999">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399999999999999">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399999999999999">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399999999999999">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399999999999999">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399999999999999">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399999999999999">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399999999999999">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399999999999999">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399999999999999">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399999999999999">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399999999999999">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399999999999999">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399999999999999">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399999999999999">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399999999999999">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399999999999999">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399999999999999">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399999999999999">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399999999999999">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399999999999999">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399999999999999">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399999999999999">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399999999999999">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399999999999999">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399999999999999">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399999999999999">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399999999999999">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399999999999999">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399999999999999">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399999999999999">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399999999999999">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399999999999999">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399999999999999">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399999999999999">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399999999999999">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399999999999999">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399999999999999">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399999999999999">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399999999999999">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399999999999999">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399999999999999">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399999999999999">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399999999999999">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399999999999999">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399999999999999">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399999999999999">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399999999999999">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399999999999999">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399999999999999">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399999999999999">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399999999999999">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399999999999999">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399999999999999">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399999999999999">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399999999999999">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399999999999999">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399999999999999">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399999999999999">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399999999999999">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399999999999999">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399999999999999">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399999999999999">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399999999999999">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399999999999999">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399999999999999">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399999999999999">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399999999999999">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399999999999999">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399999999999999">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399999999999999">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399999999999999">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399999999999999">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399999999999999">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399999999999999">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399999999999999">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399999999999999">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399999999999999">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399999999999999">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399999999999999">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399999999999999">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399999999999999">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399999999999999">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399999999999999">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399999999999999">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399999999999999">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399999999999999">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399999999999999">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399999999999999">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399999999999999">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399999999999999">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399999999999999">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399999999999999">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399999999999999">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399999999999999">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399999999999999">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399999999999999">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399999999999999">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399999999999999">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399999999999999">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399999999999999">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399999999999999">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399999999999999">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399999999999999">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399999999999999">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399999999999999">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399999999999999">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399999999999999">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399999999999999">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399999999999999">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399999999999999">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399999999999999">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399999999999999">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399999999999999">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399999999999999">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399999999999999">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399999999999999">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399999999999999">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399999999999999">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399999999999999">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399999999999999">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399999999999999">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399999999999999">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399999999999999">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399999999999999">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399999999999999">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399999999999999">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399999999999999">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399999999999999">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399999999999999">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399999999999999">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399999999999999">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399999999999999">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399999999999999">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399999999999999">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399999999999999">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399999999999999">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399999999999999">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399999999999999">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399999999999999">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399999999999999">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399999999999999">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399999999999999">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399999999999999">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399999999999999">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399999999999999">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399999999999999">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399999999999999">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399999999999999">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399999999999999">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399999999999999">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399999999999999">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399999999999999">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399999999999999">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399999999999999">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399999999999999">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399999999999999">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399999999999999">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399999999999999">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399999999999999">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399999999999999">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399999999999999">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399999999999999">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399999999999999">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399999999999999">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399999999999999">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399999999999999">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399999999999999">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399999999999999">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399999999999999">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399999999999999">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399999999999999">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399999999999999">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399999999999999">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399999999999999">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399999999999999">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399999999999999">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399999999999999">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399999999999999">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399999999999999">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399999999999999">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399999999999999">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399999999999999">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399999999999999">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399999999999999">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399999999999999">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399999999999999">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399999999999999">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399999999999999">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399999999999999">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399999999999999">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399999999999999">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399999999999999">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399999999999999">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399999999999999">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399999999999999">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399999999999999">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399999999999999">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399999999999999">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399999999999999">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399999999999999">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399999999999999">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399999999999999">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399999999999999">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399999999999999">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399999999999999">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399999999999999">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399999999999999">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399999999999999">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399999999999999">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399999999999999">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399999999999999">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399999999999999">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399999999999999">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399999999999999">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399999999999999">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399999999999999">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399999999999999">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399999999999999">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399999999999999">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399999999999999">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399999999999999">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399999999999999">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399999999999999">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399999999999999">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399999999999999">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399999999999999">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399999999999999">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399999999999999">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399999999999999">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399999999999999">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399999999999999">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399999999999999">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399999999999999">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399999999999999">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399999999999999">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399999999999999">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399999999999999">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399999999999999">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399999999999999">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399999999999999">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399999999999999">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399999999999999">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399999999999999">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399999999999999">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399999999999999">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399999999999999">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399999999999999">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399999999999999">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399999999999999">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399999999999999">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399999999999999">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399999999999999">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399999999999999">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399999999999999">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399999999999999">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399999999999999">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399999999999999">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399999999999999">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399999999999999">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399999999999999">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399999999999999">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399999999999999">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399999999999999">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399999999999999">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399999999999999">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399999999999999">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399999999999999">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399999999999999">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399999999999999">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399999999999999">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399999999999999">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399999999999999">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399999999999999">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399999999999999">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399999999999999">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399999999999999">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399999999999999">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399999999999999">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399999999999999">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399999999999999">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399999999999999">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399999999999999">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399999999999999">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399999999999999">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399999999999999">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399999999999999">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399999999999999">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399999999999999">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399999999999999">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399999999999999">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399999999999999">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399999999999999">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399999999999999">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399999999999999">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399999999999999">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399999999999999">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399999999999999">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399999999999999">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399999999999999">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399999999999999">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399999999999999">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399999999999999">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399999999999999">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399999999999999">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399999999999999">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399999999999999">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399999999999999">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399999999999999">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399999999999999">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399999999999999">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399999999999999">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399999999999999">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399999999999999">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399999999999999">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399999999999999">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399999999999999">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399999999999999">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399999999999999">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399999999999999">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399999999999999">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399999999999999">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399999999999999">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399999999999999">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399999999999999">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399999999999999">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399999999999999">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399999999999999">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399999999999999">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399999999999999">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399999999999999">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399999999999999">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399999999999999">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399999999999999">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399999999999999">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399999999999999">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399999999999999">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399999999999999">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399999999999999">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399999999999999">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399999999999999">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399999999999999">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399999999999999">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399999999999999">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399999999999999">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399999999999999">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399999999999999">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399999999999999">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399999999999999">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399999999999999">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399999999999999">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399999999999999">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399999999999999">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399999999999999">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399999999999999">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399999999999999">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399999999999999">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399999999999999">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399999999999999">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399999999999999">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399999999999999">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399999999999999">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399999999999999">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399999999999999">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399999999999999">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399999999999999">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399999999999999">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399999999999999">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399999999999999">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399999999999999">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399999999999999">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399999999999999">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399999999999999">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399999999999999">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399999999999999">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399999999999999">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399999999999999">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399999999999999">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399999999999999">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399999999999999">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399999999999999">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399999999999999">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399999999999999">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399999999999999">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399999999999999">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399999999999999">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399999999999999">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399999999999999">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399999999999999">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399999999999999">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399999999999999">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399999999999999">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399999999999999">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399999999999999">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399999999999999">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399999999999999">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399999999999999">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399999999999999">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399999999999999">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399999999999999">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399999999999999">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399999999999999">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399999999999999">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399999999999999">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399999999999999">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399999999999999">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399999999999999">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399999999999999">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399999999999999">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399999999999999">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399999999999999">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399999999999999">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399999999999999">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399999999999999">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399999999999999">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399999999999999">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399999999999999">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399999999999999">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399999999999999">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399999999999999">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399999999999999">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399999999999999">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399999999999999">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399999999999999">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399999999999999">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399999999999999">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399999999999999">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399999999999999">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399999999999999">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399999999999999">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399999999999999">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399999999999999">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399999999999999">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399999999999999">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399999999999999">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399999999999999">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399999999999999">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399999999999999">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399999999999999">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399999999999999">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399999999999999">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399999999999999">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399999999999999">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399999999999999">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399999999999999">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399999999999999">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399999999999999">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399999999999999">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399999999999999">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399999999999999">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399999999999999">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399999999999999">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399999999999999">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399999999999999">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399999999999999">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399999999999999">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399999999999999">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399999999999999">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399999999999999">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399999999999999">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399999999999999">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399999999999999">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399999999999999">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399999999999999">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399999999999999">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399999999999999">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399999999999999">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399999999999999">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399999999999999">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399999999999999">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399999999999999">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399999999999999">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399999999999999">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399999999999999">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399999999999999">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399999999999999">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399999999999999">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399999999999999">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399999999999999">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399999999999999">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399999999999999">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399999999999999">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399999999999999">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399999999999999">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399999999999999">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399999999999999">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399999999999999">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399999999999999">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399999999999999">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399999999999999">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399999999999999">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399999999999999">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399999999999999">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399999999999999">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399999999999999">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399999999999999">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399999999999999">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399999999999999">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399999999999999">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399999999999999">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399999999999999">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399999999999999">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399999999999999">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399999999999999">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399999999999999">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399999999999999">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399999999999999">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399999999999999">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399999999999999">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399999999999999">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399999999999999">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399999999999999">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399999999999999">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399999999999999">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399999999999999">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399999999999999">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399999999999999">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399999999999999">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399999999999999">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399999999999999">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399999999999999">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399999999999999">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399999999999999">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399999999999999">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399999999999999">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399999999999999">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399999999999999">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399999999999999">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399999999999999">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399999999999999">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399999999999999">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399999999999999">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399999999999999">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399999999999999">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399999999999999">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399999999999999">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399999999999999">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399999999999999">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399999999999999">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399999999999999">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399999999999999">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399999999999999">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399999999999999">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399999999999999">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399999999999999">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399999999999999">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399999999999999">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399999999999999">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399999999999999">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399999999999999">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399999999999999">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399999999999999">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399999999999999">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399999999999999">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399999999999999">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399999999999999">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399999999999999">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399999999999999">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399999999999999">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399999999999999">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399999999999999">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399999999999999">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399999999999999">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399999999999999">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399999999999999">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399999999999999">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399999999999999">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399999999999999">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399999999999999">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399999999999999">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399999999999999">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399999999999999">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399999999999999">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399999999999999">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399999999999999">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399999999999999">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399999999999999">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399999999999999">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399999999999999">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399999999999999">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2"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C5AE105D-2E8A-488F-A45C-2BA31C252086}"/>
    </customSheetView>
  </customSheetViews>
  <mergeCells count="3">
    <mergeCell ref="J2:O2"/>
    <mergeCell ref="B3:E3"/>
    <mergeCell ref="G3:I3"/>
  </mergeCells>
  <phoneticPr fontId="101"/>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90625" defaultRowHeight="12.6"/>
  <cols>
    <col min="1" max="1" width="45.08984375" style="18" customWidth="1"/>
    <col min="2" max="2" width="42.90625" style="19" customWidth="1"/>
    <col min="3" max="3" width="51.6328125" style="18" customWidth="1"/>
    <col min="4" max="4" width="29.08984375" style="19" customWidth="1"/>
    <col min="5" max="5" width="9" style="18" customWidth="1"/>
    <col min="6" max="6" width="13.6328125" style="18" hidden="1" customWidth="1"/>
    <col min="7" max="7" width="13.36328125" style="18" hidden="1" customWidth="1"/>
    <col min="8" max="9" width="9" style="18" hidden="1" customWidth="1"/>
    <col min="10" max="10" width="48.90625" style="18" hidden="1" customWidth="1"/>
    <col min="11" max="11" width="9" style="18" hidden="1" customWidth="1"/>
    <col min="12" max="15" width="8.90625" style="18" hidden="1" customWidth="1"/>
    <col min="16" max="18" width="8.90625" style="18" customWidth="1"/>
    <col min="19" max="16384" width="8.90625" style="18"/>
  </cols>
  <sheetData>
    <row r="1" spans="1:10" ht="32.4">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6.2">
      <c r="A2" s="63" t="s">
        <v>858</v>
      </c>
      <c r="B2" s="64" t="str">
        <f>IF(F65=1,"Click here to return to Smelter List","")</f>
        <v/>
      </c>
      <c r="C2" s="118" t="str">
        <f>IF(F65=1,"Click here to return to Product List","")</f>
        <v/>
      </c>
      <c r="D2" s="144" t="str">
        <f ca="1">IF(H70=0,"0",H70)</f>
        <v>0</v>
      </c>
    </row>
    <row r="3" spans="1:10" ht="16.2">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Panasonic Industry</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B. Product (or List of Products)</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Go to Product List tab to enter products this declaration applies to</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Panasonic Industry</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Link to Web Inquary@</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https://industrial.panasonic.com/cuif2/na/contact-us</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Panasonic Industry</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Link to Web Inquary@</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46211</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773</v>
      </c>
      <c r="F13" s="90"/>
      <c r="H13" s="18">
        <f t="shared" si="3"/>
        <v>0</v>
      </c>
    </row>
    <row r="14" spans="1:10" ht="26.4">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6" t="str">
        <f ca="1">Declaration!B55</f>
        <v>6) What percentage of relevant suppliers have provided a response to your supply chain survey?  (*)</v>
      </c>
      <c r="B38" s="89"/>
      <c r="C38" s="89"/>
      <c r="D38" s="93"/>
      <c r="E38" s="19" t="s">
        <v>770</v>
      </c>
      <c r="F38" s="90"/>
    </row>
    <row r="39" spans="1:10" ht="26.4">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
      <c r="A43" s="86" t="str">
        <f ca="1">Declaration!B61</f>
        <v>7) Have you identified all of the smelters supplying the 3TG to your supply chain?  (*)</v>
      </c>
      <c r="B43" s="89"/>
      <c r="C43" s="89"/>
      <c r="D43" s="93"/>
      <c r="E43" s="19" t="s">
        <v>771</v>
      </c>
      <c r="F43" s="90"/>
    </row>
    <row r="44" spans="1:10" ht="51.6">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2">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700000000000003" customHeight="1">
      <c r="A56" s="86" t="s">
        <v>3</v>
      </c>
      <c r="B56" s="86" t="str">
        <f>Declaration!G77</f>
        <v>https://holdings.panasonic/global/corporate/sustainability/pdf/sdb2025e-supply_chain.pdf</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One or more product / item numbers have been provided</v>
      </c>
      <c r="C64" s="86" t="str">
        <f t="shared" ca="1" si="13"/>
        <v>Complete</v>
      </c>
      <c r="D64" s="92" t="str">
        <f ca="1">IF(H64=1,"Click here to enter detail on Product List tab","")</f>
        <v/>
      </c>
      <c r="E64" s="19" t="s">
        <v>1261</v>
      </c>
      <c r="F64" s="91">
        <f>IF(B5=Declaration!Q9,1,0)</f>
        <v>1</v>
      </c>
      <c r="G64" s="67" cm="1">
        <f t="array" aca="1" ref="G64" ca="1">IF(INDIRECT("'Product List'!B6")="",1,0)</f>
        <v>0</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101"/>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16" sqref="B16"/>
    </sheetView>
  </sheetViews>
  <sheetFormatPr defaultColWidth="8.90625" defaultRowHeight="12.6"/>
  <cols>
    <col min="1" max="1" width="3.08984375" style="259" customWidth="1"/>
    <col min="2" max="2" width="39.90625" style="262" customWidth="1"/>
    <col min="3" max="5" width="39.90625" style="259" customWidth="1"/>
    <col min="6" max="6" width="58.90625" style="259" customWidth="1"/>
    <col min="7" max="7" width="1.6328125" style="259" customWidth="1"/>
    <col min="8" max="8" width="9" style="259" customWidth="1"/>
    <col min="9" max="16384" width="8.9062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t="s">
        <v>15890</v>
      </c>
      <c r="C6" s="95" t="s">
        <v>15891</v>
      </c>
      <c r="D6" s="95"/>
      <c r="E6" s="95"/>
      <c r="F6" s="95"/>
      <c r="G6" s="258"/>
    </row>
    <row r="7" spans="1:8" ht="15">
      <c r="A7" s="126"/>
      <c r="B7" s="257" t="s">
        <v>15893</v>
      </c>
      <c r="C7" s="95" t="s">
        <v>15894</v>
      </c>
      <c r="D7" s="95"/>
      <c r="E7" s="95"/>
      <c r="F7" s="95"/>
      <c r="G7" s="258"/>
    </row>
    <row r="8" spans="1:8" ht="15">
      <c r="A8" s="126"/>
      <c r="B8" s="257" t="s">
        <v>15892</v>
      </c>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2"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phoneticPr fontId="101"/>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90625" defaultRowHeight="12.6"/>
  <cols>
    <col min="1" max="1" width="9.08984375" style="173" bestFit="1" customWidth="1"/>
    <col min="2" max="2" width="42.90625" style="173" customWidth="1"/>
    <col min="3" max="3" width="63.90625" style="173" customWidth="1"/>
    <col min="4" max="4" width="25.6328125" style="173" customWidth="1"/>
    <col min="5" max="5" width="12.6328125" style="173" customWidth="1"/>
    <col min="6" max="6" width="12.6328125" style="174" customWidth="1"/>
    <col min="7" max="7" width="15.36328125" style="173" customWidth="1"/>
    <col min="8" max="8" width="23.90625" style="173" customWidth="1"/>
    <col min="9" max="9" width="28.08984375" style="173" customWidth="1"/>
    <col min="10" max="10" width="48.26953125" style="173" hidden="1" customWidth="1"/>
    <col min="11" max="11" width="49.7265625" style="173" hidden="1" customWidth="1"/>
    <col min="12" max="16384" width="8.9062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0.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101"/>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90625" defaultRowHeight="13.8"/>
  <cols>
    <col min="1" max="1" width="14.6328125" style="148" customWidth="1"/>
    <col min="2" max="2" width="14" style="148" customWidth="1"/>
    <col min="3" max="3" width="6.08984375" style="148" customWidth="1"/>
    <col min="4" max="4" width="56.26953125" style="148" customWidth="1"/>
    <col min="5" max="5" width="53.7265625" style="216" customWidth="1"/>
    <col min="6" max="6" width="54.08984375" style="148" customWidth="1"/>
    <col min="7" max="7" width="68.26953125" style="148" customWidth="1"/>
    <col min="8" max="8" width="49.26953125" style="148" customWidth="1"/>
    <col min="9" max="9" width="51.6328125" style="148" customWidth="1"/>
    <col min="10" max="10" width="50.26953125" style="148" customWidth="1"/>
    <col min="11" max="11" width="51.90625" customWidth="1"/>
    <col min="12" max="12" width="66.90625" style="239" customWidth="1"/>
    <col min="13" max="13" width="46.08984375" style="106" customWidth="1"/>
    <col min="14" max="15" width="8.90625" style="106" customWidth="1"/>
    <col min="16" max="16384" width="8.9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31.2">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00.8">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05.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29.6">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69">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79.4">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00.8">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289.8">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76">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7"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38">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24.2">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55.2">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38">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62.2">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193.2">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41.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37.799999999999997">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55.2">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5.2">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27.6">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3.2">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27.6">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27.6">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27.6">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41.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41.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41.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41.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55.2">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55.2">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55.2">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55.2">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41.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Metadata/LabelInfo.xml><?xml version="1.0" encoding="utf-8"?>
<clbl:labelList xmlns:clbl="http://schemas.microsoft.com/office/2020/mipLabelMetadata">
  <clbl:label id="{4863f5d6-4760-4589-be9c-42f82e075739}" enabled="0" method="" siteId="{4863f5d6-4760-4589-be9c-42f82e075739}" removed="1"/>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TOUMOTO MASATAKA (塔本 正崇)</cp:lastModifiedBy>
  <cp:lastPrinted>2015-04-21T20:47:43Z</cp:lastPrinted>
  <dcterms:created xsi:type="dcterms:W3CDTF">2010-06-21T21:00:23Z</dcterms:created>
  <dcterms:modified xsi:type="dcterms:W3CDTF">2026-07-09T03:43:44Z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